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fannenberg-my.sharepoint.com/personal/mark_egbers_pfannenberg_com/Documents/Webinar/Firealarm 2021_02/english/"/>
    </mc:Choice>
  </mc:AlternateContent>
  <xr:revisionPtr revIDLastSave="10" documentId="8_{C8C4A759-63BF-4F29-89B2-B795C1896309}" xr6:coauthVersionLast="47" xr6:coauthVersionMax="47" xr10:uidLastSave="{161C78DA-7AD7-4BC6-9DFE-2FB597A819A3}"/>
  <bookViews>
    <workbookView xWindow="-120" yWindow="-120" windowWidth="29040" windowHeight="15840" activeTab="1" xr2:uid="{00000000-000D-0000-FFFF-FFFF00000000}"/>
  </bookViews>
  <sheets>
    <sheet name="read me" sheetId="27" r:id="rId1"/>
    <sheet name="PA 5" sheetId="14" r:id="rId2"/>
    <sheet name="PA 10" sheetId="15" r:id="rId3"/>
    <sheet name="DS 10" sheetId="24" r:id="rId4"/>
    <sheet name="E2S A100" sheetId="52" state="hidden" r:id="rId5"/>
    <sheet name="A 100" sheetId="33" state="hidden" r:id="rId6"/>
    <sheet name="A 105N" sheetId="34" state="hidden" r:id="rId7"/>
  </sheets>
  <definedNames>
    <definedName name="_xlnm.Print_Area" localSheetId="5">'A 100'!$A$1:$P$45</definedName>
    <definedName name="_xlnm.Print_Area" localSheetId="6">'A 105N'!$A$1:$P$45</definedName>
    <definedName name="_xlnm.Print_Area" localSheetId="3">'DS 10'!$A$1:$P$52</definedName>
    <definedName name="_xlnm.Print_Area" localSheetId="4">'E2S A100'!$A$1:$P$45</definedName>
    <definedName name="_xlnm.Print_Area" localSheetId="2">'PA 10'!$A$1:$P$52</definedName>
    <definedName name="_xlnm.Print_Area" localSheetId="1">'PA 5'!$A$1:$P$52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" i="52" l="1"/>
  <c r="A15" i="52"/>
  <c r="A11" i="52"/>
  <c r="A9" i="52"/>
  <c r="AA7" i="52"/>
  <c r="Z7" i="52"/>
  <c r="Y7" i="52"/>
  <c r="X7" i="52"/>
  <c r="W7" i="52"/>
  <c r="V7" i="52"/>
  <c r="U7" i="52"/>
  <c r="T7" i="52"/>
  <c r="S7" i="52"/>
  <c r="R7" i="52"/>
  <c r="Q7" i="52"/>
  <c r="R6" i="52"/>
  <c r="S6" i="52" s="1"/>
  <c r="T6" i="52" s="1"/>
  <c r="U6" i="52" s="1"/>
  <c r="V6" i="52" s="1"/>
  <c r="W6" i="52" s="1"/>
  <c r="X6" i="52" s="1"/>
  <c r="Y6" i="52" s="1"/>
  <c r="Z6" i="52" s="1"/>
  <c r="AA6" i="52" s="1"/>
  <c r="Q6" i="52"/>
  <c r="M2" i="52"/>
  <c r="E8" i="52" s="1"/>
  <c r="E9" i="52" s="1"/>
  <c r="X8" i="52" l="1"/>
  <c r="Q8" i="52"/>
  <c r="Y8" i="52"/>
  <c r="R8" i="52"/>
  <c r="Z8" i="52"/>
  <c r="S8" i="52"/>
  <c r="AA8" i="52"/>
  <c r="D8" i="52"/>
  <c r="T8" i="52"/>
  <c r="E2" i="52"/>
  <c r="U8" i="52"/>
  <c r="L8" i="52"/>
  <c r="V8" i="52"/>
  <c r="W8" i="52"/>
  <c r="M8" i="52"/>
  <c r="F8" i="52"/>
  <c r="N8" i="52"/>
  <c r="G8" i="52"/>
  <c r="H8" i="52"/>
  <c r="P8" i="52"/>
  <c r="O8" i="52"/>
  <c r="I8" i="52"/>
  <c r="J8" i="52"/>
  <c r="K8" i="52"/>
  <c r="N9" i="52" l="1"/>
  <c r="M9" i="52"/>
  <c r="J10" i="52"/>
  <c r="O9" i="52"/>
  <c r="G9" i="52"/>
  <c r="F9" i="52"/>
  <c r="L9" i="52"/>
  <c r="H9" i="52"/>
  <c r="K9" i="52"/>
  <c r="P11" i="52" s="1"/>
  <c r="K10" i="52"/>
  <c r="I10" i="52"/>
  <c r="I12" i="52" s="1"/>
  <c r="I9" i="52"/>
  <c r="D11" i="52" s="1"/>
  <c r="E11" i="52" l="1"/>
  <c r="D13" i="52"/>
  <c r="D16" i="52"/>
  <c r="I14" i="52"/>
  <c r="J12" i="52"/>
  <c r="E16" i="52"/>
  <c r="H12" i="52"/>
  <c r="H14" i="52" s="1"/>
  <c r="P13" i="52"/>
  <c r="O11" i="52"/>
  <c r="D19" i="52" l="1"/>
  <c r="E17" i="52"/>
  <c r="J14" i="52"/>
  <c r="K12" i="52"/>
  <c r="D18" i="52"/>
  <c r="D17" i="52"/>
  <c r="F16" i="52"/>
  <c r="N11" i="52"/>
  <c r="O13" i="52"/>
  <c r="E13" i="52"/>
  <c r="F11" i="52"/>
  <c r="K14" i="52" l="1"/>
  <c r="L12" i="52"/>
  <c r="L14" i="52" s="1"/>
  <c r="F13" i="52"/>
  <c r="G11" i="52"/>
  <c r="N13" i="52"/>
  <c r="M11" i="52"/>
  <c r="L11" i="52" l="1"/>
  <c r="M13" i="52"/>
  <c r="G13" i="52"/>
  <c r="H11" i="52"/>
  <c r="H13" i="52" l="1"/>
  <c r="I11" i="52"/>
  <c r="I13" i="52" s="1"/>
  <c r="L13" i="52"/>
  <c r="K11" i="52"/>
  <c r="K13" i="52" s="1"/>
  <c r="A17" i="14" l="1"/>
  <c r="A17" i="15"/>
  <c r="A17" i="24"/>
  <c r="A15" i="14"/>
  <c r="A15" i="15"/>
  <c r="A15" i="24"/>
  <c r="A13" i="14"/>
  <c r="A13" i="15"/>
  <c r="A13" i="24"/>
  <c r="A11" i="14"/>
  <c r="A11" i="15"/>
  <c r="A11" i="24"/>
  <c r="A9" i="14"/>
  <c r="A9" i="15"/>
  <c r="A9" i="24"/>
  <c r="AA7" i="34" l="1"/>
  <c r="Z7" i="34"/>
  <c r="Y7" i="34"/>
  <c r="X7" i="34"/>
  <c r="W7" i="34"/>
  <c r="V7" i="34"/>
  <c r="U7" i="34"/>
  <c r="T7" i="34"/>
  <c r="S7" i="34"/>
  <c r="R7" i="34"/>
  <c r="Q7" i="34"/>
  <c r="Q6" i="34"/>
  <c r="R6" i="34" s="1"/>
  <c r="S6" i="34" s="1"/>
  <c r="T6" i="34" s="1"/>
  <c r="U6" i="34" s="1"/>
  <c r="V6" i="34" s="1"/>
  <c r="W6" i="34" s="1"/>
  <c r="X6" i="34" s="1"/>
  <c r="Y6" i="34" s="1"/>
  <c r="Z6" i="34" s="1"/>
  <c r="AA6" i="34" s="1"/>
  <c r="M2" i="34"/>
  <c r="F8" i="34" s="1"/>
  <c r="F9" i="34" s="1"/>
  <c r="AA7" i="33"/>
  <c r="Z7" i="33"/>
  <c r="Y7" i="33"/>
  <c r="X7" i="33"/>
  <c r="W7" i="33"/>
  <c r="V7" i="33"/>
  <c r="U7" i="33"/>
  <c r="T7" i="33"/>
  <c r="S7" i="33"/>
  <c r="R7" i="33"/>
  <c r="Q7" i="33"/>
  <c r="Q6" i="33"/>
  <c r="R6" i="33" s="1"/>
  <c r="S6" i="33" s="1"/>
  <c r="T6" i="33" s="1"/>
  <c r="U6" i="33" s="1"/>
  <c r="V6" i="33" s="1"/>
  <c r="W6" i="33" s="1"/>
  <c r="X6" i="33" s="1"/>
  <c r="Y6" i="33" s="1"/>
  <c r="Z6" i="33" s="1"/>
  <c r="AA6" i="33" s="1"/>
  <c r="M2" i="33"/>
  <c r="M8" i="33" s="1"/>
  <c r="M9" i="33" s="1"/>
  <c r="Q8" i="33" l="1"/>
  <c r="Q8" i="34"/>
  <c r="U8" i="33"/>
  <c r="Y8" i="33"/>
  <c r="G8" i="33"/>
  <c r="G9" i="33" s="1"/>
  <c r="S8" i="34"/>
  <c r="W8" i="34"/>
  <c r="AA8" i="34"/>
  <c r="E2" i="33"/>
  <c r="R8" i="33"/>
  <c r="V8" i="33"/>
  <c r="Z8" i="33"/>
  <c r="K8" i="33"/>
  <c r="K9" i="33" s="1"/>
  <c r="T8" i="34"/>
  <c r="X8" i="34"/>
  <c r="L8" i="33"/>
  <c r="L9" i="33" s="1"/>
  <c r="U8" i="34"/>
  <c r="Y8" i="34"/>
  <c r="T8" i="33"/>
  <c r="X8" i="33"/>
  <c r="F8" i="33"/>
  <c r="F9" i="33" s="1"/>
  <c r="P8" i="33"/>
  <c r="R8" i="34"/>
  <c r="V8" i="34"/>
  <c r="Z8" i="34"/>
  <c r="E8" i="34"/>
  <c r="E9" i="34" s="1"/>
  <c r="I8" i="34"/>
  <c r="M8" i="34"/>
  <c r="M9" i="34" s="1"/>
  <c r="J8" i="34"/>
  <c r="J10" i="34" s="1"/>
  <c r="N8" i="34"/>
  <c r="N9" i="34" s="1"/>
  <c r="G8" i="34"/>
  <c r="G9" i="34" s="1"/>
  <c r="K8" i="34"/>
  <c r="O8" i="34"/>
  <c r="O9" i="34" s="1"/>
  <c r="A15" i="34"/>
  <c r="E2" i="34"/>
  <c r="D8" i="34"/>
  <c r="H8" i="34"/>
  <c r="H9" i="34" s="1"/>
  <c r="L8" i="34"/>
  <c r="L9" i="34" s="1"/>
  <c r="P8" i="34"/>
  <c r="D8" i="33"/>
  <c r="J8" i="33"/>
  <c r="J10" i="33" s="1"/>
  <c r="O8" i="33"/>
  <c r="O9" i="33" s="1"/>
  <c r="S8" i="33"/>
  <c r="W8" i="33"/>
  <c r="AA8" i="33"/>
  <c r="H8" i="33"/>
  <c r="H9" i="33" s="1"/>
  <c r="N8" i="33"/>
  <c r="N9" i="33" s="1"/>
  <c r="A15" i="33"/>
  <c r="K10" i="33"/>
  <c r="E8" i="33"/>
  <c r="E9" i="33" s="1"/>
  <c r="I8" i="33"/>
  <c r="P11" i="33" l="1"/>
  <c r="P13" i="33" s="1"/>
  <c r="I9" i="34"/>
  <c r="I10" i="34"/>
  <c r="K10" i="34"/>
  <c r="K9" i="34"/>
  <c r="P11" i="34" s="1"/>
  <c r="D11" i="34"/>
  <c r="I9" i="33"/>
  <c r="D11" i="33" s="1"/>
  <c r="I10" i="33"/>
  <c r="I12" i="33" s="1"/>
  <c r="M2" i="15"/>
  <c r="U14" i="15" s="1"/>
  <c r="P13" i="15"/>
  <c r="AA13" i="15" s="1"/>
  <c r="M2" i="14"/>
  <c r="P13" i="14"/>
  <c r="Z13" i="14" s="1"/>
  <c r="H4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Y13" i="24" s="1"/>
  <c r="D13" i="24"/>
  <c r="I4" i="15"/>
  <c r="H4" i="15"/>
  <c r="K4" i="24"/>
  <c r="I4" i="14"/>
  <c r="H4" i="14"/>
  <c r="O13" i="15"/>
  <c r="N13" i="15"/>
  <c r="M13" i="15"/>
  <c r="L13" i="15"/>
  <c r="K13" i="15"/>
  <c r="J13" i="15"/>
  <c r="I13" i="15"/>
  <c r="H13" i="15"/>
  <c r="G13" i="15"/>
  <c r="F13" i="15"/>
  <c r="E13" i="15"/>
  <c r="D13" i="15"/>
  <c r="O13" i="14"/>
  <c r="N13" i="14"/>
  <c r="M13" i="14"/>
  <c r="L13" i="14"/>
  <c r="K13" i="14"/>
  <c r="J13" i="14"/>
  <c r="I13" i="14"/>
  <c r="H13" i="14"/>
  <c r="G13" i="14"/>
  <c r="F13" i="14"/>
  <c r="E13" i="14"/>
  <c r="D13" i="14"/>
  <c r="Q6" i="24"/>
  <c r="R6" i="24" s="1"/>
  <c r="S6" i="24" s="1"/>
  <c r="T6" i="24" s="1"/>
  <c r="U6" i="24" s="1"/>
  <c r="V6" i="24" s="1"/>
  <c r="W6" i="24" s="1"/>
  <c r="X6" i="24" s="1"/>
  <c r="Y6" i="24" s="1"/>
  <c r="Z6" i="24" s="1"/>
  <c r="AA6" i="24" s="1"/>
  <c r="M2" i="24"/>
  <c r="Z13" i="15"/>
  <c r="Y13" i="15"/>
  <c r="X13" i="15"/>
  <c r="W13" i="15"/>
  <c r="V13" i="15"/>
  <c r="U13" i="15"/>
  <c r="T13" i="15"/>
  <c r="S13" i="15"/>
  <c r="R13" i="15"/>
  <c r="Q13" i="15"/>
  <c r="Q6" i="15"/>
  <c r="R6" i="15" s="1"/>
  <c r="S6" i="15" s="1"/>
  <c r="T6" i="15" s="1"/>
  <c r="U6" i="15" s="1"/>
  <c r="V6" i="15" s="1"/>
  <c r="W6" i="15" s="1"/>
  <c r="X6" i="15" s="1"/>
  <c r="Y6" i="15" s="1"/>
  <c r="Z6" i="15" s="1"/>
  <c r="AA6" i="15" s="1"/>
  <c r="Q6" i="14"/>
  <c r="R6" i="14" s="1"/>
  <c r="S6" i="14" s="1"/>
  <c r="T6" i="14" s="1"/>
  <c r="U6" i="14" s="1"/>
  <c r="V6" i="14" s="1"/>
  <c r="W6" i="14" s="1"/>
  <c r="X6" i="14" s="1"/>
  <c r="Y6" i="14" s="1"/>
  <c r="Z6" i="14" s="1"/>
  <c r="AA6" i="14" s="1"/>
  <c r="S13" i="24" l="1"/>
  <c r="S14" i="24" s="1"/>
  <c r="AA13" i="24"/>
  <c r="AA14" i="24" s="1"/>
  <c r="R13" i="24"/>
  <c r="R14" i="24" s="1"/>
  <c r="T13" i="24"/>
  <c r="Z13" i="24"/>
  <c r="Z14" i="24" s="1"/>
  <c r="U13" i="24"/>
  <c r="W13" i="24"/>
  <c r="W14" i="24" s="1"/>
  <c r="X13" i="24"/>
  <c r="V13" i="24"/>
  <c r="V14" i="24" s="1"/>
  <c r="Q13" i="24"/>
  <c r="Q14" i="24" s="1"/>
  <c r="O11" i="33"/>
  <c r="I14" i="14"/>
  <c r="I16" i="14" s="1"/>
  <c r="A21" i="14"/>
  <c r="E14" i="14"/>
  <c r="E15" i="14" s="1"/>
  <c r="M14" i="14"/>
  <c r="M15" i="14" s="1"/>
  <c r="I12" i="34"/>
  <c r="A21" i="24"/>
  <c r="F14" i="24"/>
  <c r="O14" i="24"/>
  <c r="E2" i="14"/>
  <c r="J14" i="14"/>
  <c r="J16" i="14" s="1"/>
  <c r="U14" i="24"/>
  <c r="M14" i="24"/>
  <c r="N14" i="24"/>
  <c r="F14" i="14"/>
  <c r="F15" i="14" s="1"/>
  <c r="N14" i="14"/>
  <c r="N15" i="14" s="1"/>
  <c r="G14" i="14"/>
  <c r="G15" i="14" s="1"/>
  <c r="K14" i="14"/>
  <c r="K15" i="14" s="1"/>
  <c r="O14" i="14"/>
  <c r="O15" i="14" s="1"/>
  <c r="D14" i="14"/>
  <c r="H14" i="14"/>
  <c r="H16" i="14" s="1"/>
  <c r="L14" i="14"/>
  <c r="L15" i="14" s="1"/>
  <c r="Z14" i="14"/>
  <c r="S13" i="14"/>
  <c r="S14" i="14" s="1"/>
  <c r="W13" i="14"/>
  <c r="W14" i="14" s="1"/>
  <c r="P14" i="14"/>
  <c r="AA13" i="14"/>
  <c r="AA14" i="14" s="1"/>
  <c r="I14" i="15"/>
  <c r="I16" i="15" s="1"/>
  <c r="T14" i="15"/>
  <c r="R14" i="15"/>
  <c r="D14" i="24"/>
  <c r="P14" i="24"/>
  <c r="X14" i="24"/>
  <c r="K14" i="24"/>
  <c r="I14" i="24"/>
  <c r="L14" i="24"/>
  <c r="T14" i="24"/>
  <c r="E14" i="24"/>
  <c r="J14" i="24"/>
  <c r="E2" i="24"/>
  <c r="Y14" i="24"/>
  <c r="H14" i="24"/>
  <c r="G14" i="24"/>
  <c r="N14" i="15"/>
  <c r="F14" i="15"/>
  <c r="D14" i="15"/>
  <c r="P14" i="15"/>
  <c r="H14" i="15"/>
  <c r="G14" i="15"/>
  <c r="AA14" i="15"/>
  <c r="E2" i="15"/>
  <c r="Z14" i="15"/>
  <c r="E14" i="15"/>
  <c r="Q14" i="15"/>
  <c r="O14" i="15"/>
  <c r="W14" i="15"/>
  <c r="A21" i="15"/>
  <c r="J14" i="15"/>
  <c r="V14" i="15"/>
  <c r="M14" i="15"/>
  <c r="Y14" i="15"/>
  <c r="L14" i="15"/>
  <c r="X14" i="15"/>
  <c r="K14" i="15"/>
  <c r="S14" i="15"/>
  <c r="T13" i="14"/>
  <c r="T14" i="14" s="1"/>
  <c r="X13" i="14"/>
  <c r="X14" i="14" s="1"/>
  <c r="Q13" i="14"/>
  <c r="Q14" i="14" s="1"/>
  <c r="U13" i="14"/>
  <c r="U14" i="14" s="1"/>
  <c r="Y13" i="14"/>
  <c r="Y14" i="14" s="1"/>
  <c r="R13" i="14"/>
  <c r="R14" i="14" s="1"/>
  <c r="V13" i="14"/>
  <c r="V14" i="14" s="1"/>
  <c r="O11" i="34"/>
  <c r="P13" i="34"/>
  <c r="H12" i="34"/>
  <c r="H14" i="34" s="1"/>
  <c r="I14" i="34"/>
  <c r="J12" i="34"/>
  <c r="E16" i="34"/>
  <c r="E11" i="34"/>
  <c r="D16" i="34"/>
  <c r="D13" i="34"/>
  <c r="D16" i="33"/>
  <c r="D13" i="33"/>
  <c r="E11" i="33"/>
  <c r="E16" i="33"/>
  <c r="H12" i="33"/>
  <c r="H14" i="33" s="1"/>
  <c r="I14" i="33"/>
  <c r="J12" i="33"/>
  <c r="O13" i="33"/>
  <c r="N11" i="33"/>
  <c r="I15" i="14" l="1"/>
  <c r="K16" i="14"/>
  <c r="N15" i="15"/>
  <c r="E15" i="24"/>
  <c r="F15" i="24"/>
  <c r="J16" i="15"/>
  <c r="G15" i="24"/>
  <c r="M15" i="24"/>
  <c r="G15" i="15"/>
  <c r="O15" i="15"/>
  <c r="I15" i="15"/>
  <c r="E15" i="15"/>
  <c r="M15" i="15"/>
  <c r="F15" i="15"/>
  <c r="J16" i="24"/>
  <c r="N15" i="24"/>
  <c r="O15" i="24"/>
  <c r="L16" i="14"/>
  <c r="H15" i="14"/>
  <c r="D17" i="14" s="1"/>
  <c r="P17" i="14"/>
  <c r="O17" i="14" s="1"/>
  <c r="I16" i="24"/>
  <c r="I15" i="24"/>
  <c r="K15" i="24"/>
  <c r="K16" i="24"/>
  <c r="H16" i="24"/>
  <c r="H15" i="24"/>
  <c r="L16" i="24"/>
  <c r="L15" i="24"/>
  <c r="K15" i="15"/>
  <c r="K16" i="15"/>
  <c r="I18" i="15" s="1"/>
  <c r="L16" i="15"/>
  <c r="L15" i="15"/>
  <c r="H16" i="15"/>
  <c r="H15" i="15"/>
  <c r="I18" i="14"/>
  <c r="I20" i="14" s="1"/>
  <c r="E17" i="34"/>
  <c r="D19" i="34"/>
  <c r="J14" i="34"/>
  <c r="K12" i="34"/>
  <c r="O13" i="34"/>
  <c r="N11" i="34"/>
  <c r="F16" i="34"/>
  <c r="D17" i="34"/>
  <c r="D18" i="34"/>
  <c r="E13" i="34"/>
  <c r="F11" i="34"/>
  <c r="M11" i="33"/>
  <c r="N13" i="33"/>
  <c r="D18" i="33"/>
  <c r="D17" i="33"/>
  <c r="F16" i="33"/>
  <c r="E17" i="33"/>
  <c r="D19" i="33"/>
  <c r="J14" i="33"/>
  <c r="K12" i="33"/>
  <c r="E13" i="33"/>
  <c r="F11" i="33"/>
  <c r="D17" i="24" l="1"/>
  <c r="D19" i="24" s="1"/>
  <c r="D17" i="15"/>
  <c r="D23" i="14"/>
  <c r="E17" i="14"/>
  <c r="E19" i="14" s="1"/>
  <c r="P19" i="14"/>
  <c r="D19" i="14"/>
  <c r="P17" i="15"/>
  <c r="P17" i="24"/>
  <c r="O17" i="24" s="1"/>
  <c r="I18" i="24"/>
  <c r="H18" i="24" s="1"/>
  <c r="E17" i="15"/>
  <c r="D19" i="15"/>
  <c r="I20" i="15"/>
  <c r="E23" i="15"/>
  <c r="J18" i="15"/>
  <c r="H18" i="15"/>
  <c r="E23" i="14"/>
  <c r="E24" i="14" s="1"/>
  <c r="H18" i="14"/>
  <c r="J18" i="14"/>
  <c r="O19" i="14"/>
  <c r="N17" i="14"/>
  <c r="N13" i="34"/>
  <c r="M11" i="34"/>
  <c r="K14" i="34"/>
  <c r="L12" i="34"/>
  <c r="L14" i="34" s="1"/>
  <c r="F13" i="34"/>
  <c r="G11" i="34"/>
  <c r="K14" i="33"/>
  <c r="L12" i="33"/>
  <c r="L14" i="33" s="1"/>
  <c r="L11" i="33"/>
  <c r="M13" i="33"/>
  <c r="F13" i="33"/>
  <c r="G11" i="33"/>
  <c r="E17" i="24" l="1"/>
  <c r="D23" i="15"/>
  <c r="F17" i="14"/>
  <c r="F19" i="14" s="1"/>
  <c r="F23" i="14"/>
  <c r="P19" i="15"/>
  <c r="O17" i="15"/>
  <c r="O19" i="15" s="1"/>
  <c r="D24" i="14"/>
  <c r="D25" i="14"/>
  <c r="D23" i="24"/>
  <c r="D24" i="24" s="1"/>
  <c r="E23" i="24"/>
  <c r="D26" i="24" s="1"/>
  <c r="P19" i="24"/>
  <c r="I20" i="24"/>
  <c r="J18" i="24"/>
  <c r="J20" i="24" s="1"/>
  <c r="G18" i="24"/>
  <c r="H20" i="24"/>
  <c r="F17" i="24"/>
  <c r="E19" i="24"/>
  <c r="O19" i="24"/>
  <c r="N17" i="24"/>
  <c r="G18" i="15"/>
  <c r="H20" i="15"/>
  <c r="J20" i="15"/>
  <c r="K18" i="15"/>
  <c r="D25" i="15"/>
  <c r="F23" i="15"/>
  <c r="D24" i="15"/>
  <c r="E24" i="15"/>
  <c r="D26" i="15"/>
  <c r="F17" i="15"/>
  <c r="E19" i="15"/>
  <c r="J20" i="14"/>
  <c r="K18" i="14"/>
  <c r="G18" i="14"/>
  <c r="H20" i="14"/>
  <c r="D26" i="14"/>
  <c r="N19" i="14"/>
  <c r="M17" i="14"/>
  <c r="G13" i="34"/>
  <c r="H11" i="34"/>
  <c r="L11" i="34"/>
  <c r="M13" i="34"/>
  <c r="G13" i="33"/>
  <c r="H11" i="33"/>
  <c r="L13" i="33"/>
  <c r="K11" i="33"/>
  <c r="K13" i="33" s="1"/>
  <c r="G17" i="14" l="1"/>
  <c r="N17" i="15"/>
  <c r="N19" i="15" s="1"/>
  <c r="D25" i="24"/>
  <c r="F23" i="24"/>
  <c r="E24" i="24"/>
  <c r="K18" i="24"/>
  <c r="K20" i="24" s="1"/>
  <c r="N19" i="24"/>
  <c r="M17" i="24"/>
  <c r="F19" i="24"/>
  <c r="G17" i="24"/>
  <c r="K20" i="15"/>
  <c r="L18" i="15"/>
  <c r="G17" i="15"/>
  <c r="F19" i="15"/>
  <c r="K20" i="14"/>
  <c r="L18" i="14"/>
  <c r="M19" i="14"/>
  <c r="L17" i="14"/>
  <c r="H17" i="14"/>
  <c r="G19" i="14"/>
  <c r="H13" i="34"/>
  <c r="I11" i="34"/>
  <c r="I13" i="34" s="1"/>
  <c r="K11" i="34"/>
  <c r="K13" i="34" s="1"/>
  <c r="L13" i="34"/>
  <c r="H13" i="33"/>
  <c r="I11" i="33"/>
  <c r="I13" i="33" s="1"/>
  <c r="M17" i="15" l="1"/>
  <c r="L18" i="24"/>
  <c r="M18" i="24" s="1"/>
  <c r="L17" i="24"/>
  <c r="M19" i="24"/>
  <c r="H17" i="24"/>
  <c r="G19" i="24"/>
  <c r="M18" i="15"/>
  <c r="L20" i="15"/>
  <c r="H17" i="15"/>
  <c r="G19" i="15"/>
  <c r="M19" i="15"/>
  <c r="L17" i="15"/>
  <c r="M18" i="14"/>
  <c r="L20" i="14"/>
  <c r="L19" i="14"/>
  <c r="K17" i="14"/>
  <c r="K19" i="14" s="1"/>
  <c r="H19" i="14"/>
  <c r="I17" i="14"/>
  <c r="I19" i="14" s="1"/>
  <c r="L20" i="24" l="1"/>
  <c r="L19" i="24"/>
  <c r="K17" i="24"/>
  <c r="K19" i="24" s="1"/>
  <c r="H19" i="24"/>
  <c r="I17" i="24"/>
  <c r="I19" i="24" s="1"/>
  <c r="I17" i="15"/>
  <c r="I19" i="15" s="1"/>
  <c r="H19" i="15"/>
  <c r="L19" i="15"/>
  <c r="K17" i="15"/>
  <c r="K19" i="15" s="1"/>
</calcChain>
</file>

<file path=xl/sharedStrings.xml><?xml version="1.0" encoding="utf-8"?>
<sst xmlns="http://schemas.openxmlformats.org/spreadsheetml/2006/main" count="220" uniqueCount="64">
  <si>
    <t>dB</t>
  </si>
  <si>
    <t>Störschall /
Ambient Noise</t>
  </si>
  <si>
    <t>Horizontal / horizontal</t>
  </si>
  <si>
    <t>average x</t>
  </si>
  <si>
    <t>average Y</t>
  </si>
  <si>
    <r>
      <t>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</si>
  <si>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Distance</t>
  </si>
  <si>
    <t>polar angle</t>
  </si>
  <si>
    <t>width [m]</t>
  </si>
  <si>
    <t>length [m]</t>
  </si>
  <si>
    <t>geforderter Schalldruck /
required Sound presure</t>
  </si>
  <si>
    <t>Abstand zum Störschall /
Offset to Ambient Noise</t>
  </si>
  <si>
    <t>dB(A)</t>
  </si>
  <si>
    <t>Output (dB(A)) @ DIN-Tone</t>
  </si>
  <si>
    <t>Type:</t>
  </si>
  <si>
    <t>Tone:</t>
  </si>
  <si>
    <t>DIN</t>
  </si>
  <si>
    <t>geglättete Fläche /
"smoothed" coverage:</t>
  </si>
  <si>
    <t>Coverage</t>
  </si>
  <si>
    <t>PA 5</t>
  </si>
  <si>
    <t>PA 10</t>
  </si>
  <si>
    <t>DS 10</t>
  </si>
  <si>
    <t>m (Wall)</t>
  </si>
  <si>
    <t>* werden mehr Schallgeber an einander gereiht, so ergibt sich eine SPL - Überhöhung von ca. 3 dB, die zu einen leicht vergrößertem Signalisierungsbereich führt
if serveral sounders will be installed side by side, it will result in a 3dB higher SPL, which increases slighty the coverage</t>
  </si>
  <si>
    <t>add. Area due to SPL Überhöhung*</t>
  </si>
  <si>
    <t xml:space="preserve">die Hälfte der Signalsierungsdistanz in vertikaler Ebene / half of vertically signaling distance </t>
  </si>
  <si>
    <t>The following Excel sheet are showing the real coverage (signaling area) of different sounder</t>
  </si>
  <si>
    <t>All Pfannenberg sounders and some competitor products are included</t>
  </si>
  <si>
    <t>The given polar angle sound pressure level data are based on third party measurement (and not Pfannenberg)</t>
  </si>
  <si>
    <t>Fläche innerhalb der rot dargestellten Linien / area within the red lines in the polar diagram</t>
  </si>
  <si>
    <t>"Coverage" means that area in which the required sound pressure level is achieved</t>
  </si>
  <si>
    <t>The last Excel sheet provides comparison overview of all product at a glance</t>
  </si>
  <si>
    <t xml:space="preserve">PA 20 LO: </t>
  </si>
  <si>
    <t xml:space="preserve">Currently the PA 20 is reduced in sound output by ~2dB(ex factory) due to VdS approval which don't allow </t>
  </si>
  <si>
    <t xml:space="preserve">PA 20 HO: </t>
  </si>
  <si>
    <t xml:space="preserve">PA 20 High Output, i.e. the PA 20 with max. sound output. This will be achieved by turning the </t>
  </si>
  <si>
    <t>potentiometer on the PCBA to the upper limit.</t>
  </si>
  <si>
    <t>sound pressure level above 120 dB. This will change in the near future, so PA 20 LO will disappear.</t>
  </si>
  <si>
    <t>m (Ceiling)</t>
  </si>
  <si>
    <t>max. Montagehöhe /
max. Mounting height:</t>
  </si>
  <si>
    <t>Pfannenberg - Products</t>
  </si>
  <si>
    <r>
      <t>register</t>
    </r>
    <r>
      <rPr>
        <sz val="9"/>
        <color rgb="FF0C0C0C"/>
        <rFont val="Arial"/>
        <family val="2"/>
      </rPr>
      <t xml:space="preserve"> </t>
    </r>
    <r>
      <rPr>
        <sz val="9"/>
        <color rgb="FF181818"/>
        <rFont val="Arial"/>
        <family val="2"/>
      </rPr>
      <t>t</t>
    </r>
    <r>
      <rPr>
        <sz val="9"/>
        <color rgb="FF242424"/>
        <rFont val="Arial"/>
        <family val="2"/>
      </rPr>
      <t>a</t>
    </r>
    <r>
      <rPr>
        <sz val="9"/>
        <color rgb="FF303030"/>
        <rFont val="Arial"/>
        <family val="2"/>
      </rPr>
      <t>b</t>
    </r>
  </si>
  <si>
    <t>=&gt;</t>
  </si>
  <si>
    <t>Competitor - Products</t>
  </si>
  <si>
    <t>Output (dB(A)) @ Slow Whoop (NL)</t>
  </si>
  <si>
    <t>Output (dB(A)) @ DIN (D)</t>
  </si>
  <si>
    <t>Eingabefelder / Input fields</t>
  </si>
  <si>
    <t>To get the result for a certain ambient condition please just fill in the 2 values in the dark-yellow fileds:</t>
  </si>
  <si>
    <t>In addition to the ambient conditions the required tone could be selected by a drop-down menu:</t>
  </si>
  <si>
    <t>The shown values and polar diagram of the coverage are based on the selected tone.</t>
  </si>
  <si>
    <t>Output (dB(A)) @ Interr. 660 Hz</t>
  </si>
  <si>
    <t>Output (dB(A)) @ Alternating (F)</t>
  </si>
  <si>
    <t>COS</t>
  </si>
  <si>
    <t>SIN</t>
  </si>
  <si>
    <t>Koordinaten x</t>
  </si>
  <si>
    <t>Koordinaten Y</t>
  </si>
  <si>
    <t>Fläche innerhalb der rot dargestellten Linien. Die nicht abgedeckten Bereiche werden durch Reflexionen od. SPL-Überhöhungen gefüllt /
Area within the red lines in the polar diagram. Section which are not covered will be filled by reflexion effects or higher SPL due to a second sounder.</t>
  </si>
  <si>
    <t>(DIN-tone only)</t>
  </si>
  <si>
    <t>(all EN54-3 certified tones)</t>
  </si>
  <si>
    <t>DIN (D)</t>
  </si>
  <si>
    <t>A 100 (E2S)</t>
  </si>
  <si>
    <t>No. 9</t>
  </si>
  <si>
    <t>A 105N (E2S)</t>
  </si>
  <si>
    <t>A100, E2S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</si>
</sst>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0000"/>
      <name val="Arial"/>
      <family val="2"/>
    </font>
    <font>
      <sz val="9"/>
      <color rgb="FF0C0C0C"/>
      <name val="Arial"/>
      <family val="2"/>
    </font>
    <font>
      <sz val="9"/>
      <color rgb="FF181818"/>
      <name val="Arial"/>
      <family val="2"/>
    </font>
    <font>
      <sz val="9"/>
      <color rgb="FF242424"/>
      <name val="Arial"/>
      <family val="2"/>
    </font>
    <font>
      <sz val="9"/>
      <color rgb="FF303030"/>
      <name val="Arial"/>
      <family val="2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Protection="0"/>
  </cellStyleXfs>
  <cellXfs count="93">
    <xf numFmtId="0" fontId="0" fillId="0" borderId="0" xfId="0"/>
    <xf numFmtId="1" fontId="0" fillId="0" borderId="0" xfId="0" applyNumberFormat="1"/>
    <xf numFmtId="0" fontId="3" fillId="0" borderId="0" xfId="0" applyFont="1" applyAlignment="1">
      <alignment vertical="center"/>
    </xf>
    <xf numFmtId="2" fontId="0" fillId="0" borderId="0" xfId="0" applyNumberFormat="1"/>
    <xf numFmtId="164" fontId="0" fillId="0" borderId="0" xfId="0" applyNumberFormat="1"/>
    <xf numFmtId="164" fontId="0" fillId="3" borderId="1" xfId="0" applyNumberFormat="1" applyFill="1" applyBorder="1" applyAlignment="1">
      <alignment horizontal="center"/>
    </xf>
    <xf numFmtId="0" fontId="4" fillId="0" borderId="0" xfId="0" applyFont="1"/>
    <xf numFmtId="164" fontId="1" fillId="0" borderId="0" xfId="0" applyNumberFormat="1" applyFont="1"/>
    <xf numFmtId="0" fontId="1" fillId="0" borderId="0" xfId="0" applyFont="1" applyFill="1"/>
    <xf numFmtId="1" fontId="1" fillId="0" borderId="0" xfId="0" applyNumberFormat="1" applyFont="1" applyFill="1"/>
    <xf numFmtId="164" fontId="4" fillId="4" borderId="2" xfId="0" applyNumberFormat="1" applyFont="1" applyFill="1" applyBorder="1"/>
    <xf numFmtId="164" fontId="4" fillId="4" borderId="1" xfId="0" applyNumberFormat="1" applyFont="1" applyFill="1" applyBorder="1"/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2" fillId="5" borderId="1" xfId="0" applyFont="1" applyFill="1" applyBorder="1" applyAlignment="1">
      <alignment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0" fillId="0" borderId="0" xfId="0"/>
    <xf numFmtId="164" fontId="4" fillId="6" borderId="1" xfId="0" applyNumberFormat="1" applyFont="1" applyFill="1" applyBorder="1"/>
    <xf numFmtId="0" fontId="0" fillId="0" borderId="0" xfId="0"/>
    <xf numFmtId="0" fontId="2" fillId="3" borderId="1" xfId="0" applyFont="1" applyFill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2" fillId="3" borderId="5" xfId="0" applyFont="1" applyFill="1" applyBorder="1" applyAlignment="1" applyProtection="1">
      <alignment vertical="center"/>
      <protection locked="0"/>
    </xf>
    <xf numFmtId="2" fontId="6" fillId="0" borderId="0" xfId="0" applyNumberFormat="1" applyFont="1"/>
    <xf numFmtId="0" fontId="0" fillId="0" borderId="0" xfId="0"/>
    <xf numFmtId="0" fontId="3" fillId="0" borderId="1" xfId="0" applyFont="1" applyBorder="1" applyAlignment="1" applyProtection="1">
      <alignment vertical="center"/>
      <protection locked="0"/>
    </xf>
    <xf numFmtId="0" fontId="3" fillId="0" borderId="1" xfId="0" applyFont="1" applyBorder="1" applyAlignment="1">
      <alignment vertical="center"/>
    </xf>
    <xf numFmtId="0" fontId="0" fillId="0" borderId="0" xfId="0"/>
    <xf numFmtId="0" fontId="0" fillId="0" borderId="0" xfId="0"/>
    <xf numFmtId="0" fontId="7" fillId="7" borderId="0" xfId="0" applyFont="1" applyFill="1"/>
    <xf numFmtId="0" fontId="0" fillId="0" borderId="0" xfId="0" quotePrefix="1" applyAlignment="1">
      <alignment horizontal="center"/>
    </xf>
    <xf numFmtId="0" fontId="7" fillId="8" borderId="0" xfId="0" applyFont="1" applyFill="1"/>
    <xf numFmtId="0" fontId="0" fillId="0" borderId="0" xfId="0"/>
    <xf numFmtId="0" fontId="12" fillId="0" borderId="0" xfId="0" applyFont="1" applyFill="1"/>
    <xf numFmtId="0" fontId="2" fillId="9" borderId="1" xfId="0" applyFont="1" applyFill="1" applyBorder="1" applyAlignment="1" applyProtection="1">
      <alignment vertical="center"/>
      <protection locked="0"/>
    </xf>
    <xf numFmtId="0" fontId="2" fillId="9" borderId="5" xfId="0" applyFont="1" applyFill="1" applyBorder="1" applyAlignment="1" applyProtection="1">
      <alignment vertical="center"/>
      <protection locked="0"/>
    </xf>
    <xf numFmtId="0" fontId="13" fillId="9" borderId="1" xfId="0" applyFont="1" applyFill="1" applyBorder="1"/>
    <xf numFmtId="0" fontId="0" fillId="9" borderId="1" xfId="0" applyFill="1" applyBorder="1"/>
    <xf numFmtId="0" fontId="4" fillId="0" borderId="0" xfId="0" quotePrefix="1" applyFont="1" applyAlignment="1">
      <alignment horizontal="right"/>
    </xf>
    <xf numFmtId="0" fontId="15" fillId="0" borderId="6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5" fillId="0" borderId="12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13" xfId="0" applyFont="1" applyBorder="1" applyAlignment="1">
      <alignment horizontal="left"/>
    </xf>
    <xf numFmtId="0" fontId="0" fillId="6" borderId="1" xfId="0" applyFill="1" applyBorder="1" applyAlignment="1">
      <alignment horizontal="center"/>
    </xf>
    <xf numFmtId="164" fontId="12" fillId="0" borderId="0" xfId="0" applyNumberFormat="1" applyFont="1"/>
    <xf numFmtId="0" fontId="0" fillId="0" borderId="0" xfId="0" applyAlignment="1">
      <alignment horizontal="right"/>
    </xf>
    <xf numFmtId="164" fontId="14" fillId="0" borderId="0" xfId="0" applyNumberFormat="1" applyFont="1"/>
    <xf numFmtId="0" fontId="15" fillId="0" borderId="0" xfId="0" applyFont="1"/>
    <xf numFmtId="0" fontId="17" fillId="0" borderId="0" xfId="0" applyFont="1" applyFill="1"/>
    <xf numFmtId="0" fontId="17" fillId="0" borderId="0" xfId="0" applyFont="1" applyBorder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/>
    <xf numFmtId="0" fontId="18" fillId="0" borderId="0" xfId="1"/>
    <xf numFmtId="0" fontId="0" fillId="0" borderId="0" xfId="0" quotePrefix="1"/>
    <xf numFmtId="0" fontId="0" fillId="0" borderId="0" xfId="0"/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right" wrapText="1"/>
    </xf>
    <xf numFmtId="0" fontId="0" fillId="0" borderId="4" xfId="0" applyBorder="1" applyAlignment="1">
      <alignment horizontal="right" wrapText="1"/>
    </xf>
    <xf numFmtId="0" fontId="0" fillId="0" borderId="2" xfId="0" applyBorder="1" applyAlignment="1">
      <alignment horizontal="right" wrapText="1"/>
    </xf>
    <xf numFmtId="0" fontId="6" fillId="0" borderId="0" xfId="0" applyFont="1" applyAlignment="1">
      <alignment horizontal="left" vertical="center" wrapText="1"/>
    </xf>
    <xf numFmtId="0" fontId="0" fillId="0" borderId="1" xfId="0" applyBorder="1" applyAlignment="1">
      <alignment horizontal="right" wrapText="1"/>
    </xf>
    <xf numFmtId="0" fontId="0" fillId="0" borderId="5" xfId="0" applyBorder="1" applyAlignment="1" applyProtection="1">
      <alignment horizontal="right" vertical="center" wrapText="1"/>
      <protection locked="0"/>
    </xf>
    <xf numFmtId="0" fontId="0" fillId="0" borderId="5" xfId="0" applyBorder="1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15" fillId="0" borderId="9" xfId="0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0" fontId="15" fillId="0" borderId="11" xfId="0" applyFont="1" applyBorder="1" applyAlignment="1">
      <alignment horizontal="left"/>
    </xf>
    <xf numFmtId="0" fontId="0" fillId="0" borderId="1" xfId="0" applyBorder="1" applyAlignment="1" applyProtection="1">
      <alignment horizontal="right" vertical="center" wrapText="1"/>
      <protection locked="0"/>
    </xf>
    <xf numFmtId="0" fontId="15" fillId="9" borderId="1" xfId="0" applyFont="1" applyFill="1" applyBorder="1" applyAlignment="1">
      <alignment horizontal="left"/>
    </xf>
    <xf numFmtId="2" fontId="6" fillId="0" borderId="0" xfId="0" applyNumberFormat="1" applyFont="1" applyAlignment="1">
      <alignment horizontal="left" wrapText="1"/>
    </xf>
    <xf numFmtId="0" fontId="16" fillId="0" borderId="9" xfId="0" applyFont="1" applyBorder="1" applyAlignment="1">
      <alignment horizontal="left" shrinkToFit="1"/>
    </xf>
    <xf numFmtId="0" fontId="16" fillId="0" borderId="10" xfId="0" applyFont="1" applyBorder="1" applyAlignment="1">
      <alignment horizontal="left" shrinkToFit="1"/>
    </xf>
    <xf numFmtId="0" fontId="4" fillId="0" borderId="3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3" fillId="0" borderId="9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11" xfId="0" applyFont="1" applyBorder="1" applyAlignment="1">
      <alignment horizontal="left"/>
    </xf>
  </cellXfs>
  <cellStyles count="3">
    <cellStyle name="Link" xfId="1" builtinId="8"/>
    <cellStyle name="Standard" xfId="0" builtinId="0"/>
    <cellStyle name="Standard 2" xfId="2" xr:uid="{94D2710F-1D43-4366-B2CC-DFE1F8D73F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baseline="0"/>
              <a:t>Polar Diagramm</a:t>
            </a:r>
            <a:r>
              <a:rPr lang="en-US"/>
              <a:t> PA 5  @ Selected</a:t>
            </a:r>
            <a:r>
              <a:rPr lang="en-US" baseline="0"/>
              <a:t> Tone</a:t>
            </a:r>
            <a:r>
              <a:rPr lang="en-US"/>
              <a:t> / 24V DC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3"/>
          <c:order val="0"/>
          <c:tx>
            <c:strRef>
              <c:f>'PA 5'!$E$2</c:f>
              <c:strCache>
                <c:ptCount val="1"/>
                <c:pt idx="0">
                  <c:v>85 dB Schalldruck/
sound presure</c:v>
                </c:pt>
              </c:strCache>
            </c:strRef>
          </c:tx>
          <c:marker>
            <c:symbol val="none"/>
          </c:marker>
          <c:val>
            <c:numRef>
              <c:f>'PA 5'!$D$14:$AA$14</c:f>
              <c:numCache>
                <c:formatCode>0</c:formatCode>
                <c:ptCount val="24"/>
                <c:pt idx="0">
                  <c:v>3.349654391578277</c:v>
                </c:pt>
                <c:pt idx="1">
                  <c:v>3.5481338923357555</c:v>
                </c:pt>
                <c:pt idx="2">
                  <c:v>4.4668359215096318</c:v>
                </c:pt>
                <c:pt idx="3">
                  <c:v>6.3095734448019343</c:v>
                </c:pt>
                <c:pt idx="4">
                  <c:v>8.1283051616409985</c:v>
                </c:pt>
                <c:pt idx="5">
                  <c:v>10.351421666793438</c:v>
                </c:pt>
                <c:pt idx="6">
                  <c:v>10.592537251772889</c:v>
                </c:pt>
                <c:pt idx="7">
                  <c:v>10.351421666793438</c:v>
                </c:pt>
                <c:pt idx="8">
                  <c:v>8.1283051616409985</c:v>
                </c:pt>
                <c:pt idx="9">
                  <c:v>6.3095734448019343</c:v>
                </c:pt>
                <c:pt idx="10">
                  <c:v>4.4668359215096318</c:v>
                </c:pt>
                <c:pt idx="11">
                  <c:v>3.5481338923357555</c:v>
                </c:pt>
                <c:pt idx="12">
                  <c:v>3.349654391578277</c:v>
                </c:pt>
                <c:pt idx="13">
                  <c:v>3.349654391578277</c:v>
                </c:pt>
                <c:pt idx="14">
                  <c:v>3.349654391578277</c:v>
                </c:pt>
                <c:pt idx="15">
                  <c:v>3.349654391578277</c:v>
                </c:pt>
                <c:pt idx="16">
                  <c:v>3.349654391578277</c:v>
                </c:pt>
                <c:pt idx="17">
                  <c:v>3.349654391578277</c:v>
                </c:pt>
                <c:pt idx="18">
                  <c:v>3.349654391578277</c:v>
                </c:pt>
                <c:pt idx="19">
                  <c:v>3.349654391578277</c:v>
                </c:pt>
                <c:pt idx="20">
                  <c:v>3.349654391578277</c:v>
                </c:pt>
                <c:pt idx="21">
                  <c:v>3.349654391578277</c:v>
                </c:pt>
                <c:pt idx="22">
                  <c:v>3.349654391578277</c:v>
                </c:pt>
                <c:pt idx="23">
                  <c:v>3.349654391578277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EC-482A-8254-690431F63F82}"/>
            </c:ext>
          </c:extLst>
        </c:ser>
        <c:ser>
          <c:idx val="0"/>
          <c:order val="1"/>
          <c:tx>
            <c:v>"smoothed" coverage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'PA 5'!$D$19:$P$19</c:f>
              <c:numCache>
                <c:formatCode>0.0</c:formatCode>
                <c:ptCount val="13"/>
                <c:pt idx="0">
                  <c:v>3.9553305735843471</c:v>
                </c:pt>
                <c:pt idx="1">
                  <c:v>4.0948595284796259</c:v>
                </c:pt>
                <c:pt idx="2">
                  <c:v>4.567222342785759</c:v>
                </c:pt>
                <c:pt idx="3">
                  <c:v>5.5936821408319366</c:v>
                </c:pt>
                <c:pt idx="4">
                  <c:v>7.9106611471686925</c:v>
                </c:pt>
                <c:pt idx="5">
                  <c:v>15.282223810143501</c:v>
                </c:pt>
                <c:pt idx="7">
                  <c:v>15.282223810143492</c:v>
                </c:pt>
                <c:pt idx="8">
                  <c:v>7.9106611471686969</c:v>
                </c:pt>
                <c:pt idx="9">
                  <c:v>5.5936821408319366</c:v>
                </c:pt>
                <c:pt idx="10">
                  <c:v>4.567222342785759</c:v>
                </c:pt>
                <c:pt idx="11">
                  <c:v>4.0948595284796259</c:v>
                </c:pt>
                <c:pt idx="12">
                  <c:v>3.9553305735843467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C-482A-8254-690431F63F82}"/>
            </c:ext>
          </c:extLst>
        </c:ser>
        <c:ser>
          <c:idx val="1"/>
          <c:order val="2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'PA 5'!$D$20:$P$20</c:f>
              <c:numCache>
                <c:formatCode>0.0</c:formatCode>
                <c:ptCount val="13"/>
                <c:pt idx="4">
                  <c:v>11.774076592374817</c:v>
                </c:pt>
                <c:pt idx="5">
                  <c:v>10.556348280151276</c:v>
                </c:pt>
                <c:pt idx="6">
                  <c:v>10.196649435100307</c:v>
                </c:pt>
                <c:pt idx="7">
                  <c:v>10.556348280151276</c:v>
                </c:pt>
                <c:pt idx="8">
                  <c:v>11.774076592374815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C-482A-8254-690431F63F82}"/>
            </c:ext>
          </c:extLst>
        </c:ser>
        <c:ser>
          <c:idx val="2"/>
          <c:order val="3"/>
          <c:tx>
            <c:strRef>
              <c:f>'PA 5'!$I$4</c:f>
              <c:strCache>
                <c:ptCount val="1"/>
                <c:pt idx="0">
                  <c:v>Selected tone: DIN (D)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BEC-482A-8254-690431F63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77248"/>
        <c:axId val="114678784"/>
      </c:radarChart>
      <c:catAx>
        <c:axId val="114677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4678784"/>
        <c:crosses val="autoZero"/>
        <c:auto val="1"/>
        <c:lblAlgn val="ctr"/>
        <c:lblOffset val="100"/>
        <c:noMultiLvlLbl val="0"/>
      </c:catAx>
      <c:valAx>
        <c:axId val="114678784"/>
        <c:scaling>
          <c:orientation val="minMax"/>
        </c:scaling>
        <c:delete val="0"/>
        <c:axPos val="l"/>
        <c:majorGridlines/>
        <c:numFmt formatCode="0" sourceLinked="1"/>
        <c:majorTickMark val="cross"/>
        <c:minorTickMark val="none"/>
        <c:tickLblPos val="nextTo"/>
        <c:crossAx val="114677248"/>
        <c:crosses val="autoZero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81176805280292341"/>
          <c:y val="0.41973588917823629"/>
          <c:w val="0.17916165241249607"/>
          <c:h val="0.2361317164121608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baseline="0"/>
              <a:t>Polar Diagramm</a:t>
            </a:r>
            <a:r>
              <a:rPr lang="en-US"/>
              <a:t> PA 10  @ Selected</a:t>
            </a:r>
            <a:r>
              <a:rPr lang="en-US" baseline="0"/>
              <a:t> Tone</a:t>
            </a:r>
            <a:r>
              <a:rPr lang="en-US"/>
              <a:t> / 24V DC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5673695549961"/>
          <c:y val="0.12290511631251573"/>
          <c:w val="0.46865951279899537"/>
          <c:h val="0.80891915907771805"/>
        </c:manualLayout>
      </c:layout>
      <c:radarChart>
        <c:radarStyle val="marker"/>
        <c:varyColors val="0"/>
        <c:ser>
          <c:idx val="3"/>
          <c:order val="0"/>
          <c:tx>
            <c:strRef>
              <c:f>'PA 10'!$E$2</c:f>
              <c:strCache>
                <c:ptCount val="1"/>
                <c:pt idx="0">
                  <c:v>85 dB Schalldruck/
sound presure</c:v>
                </c:pt>
              </c:strCache>
            </c:strRef>
          </c:tx>
          <c:marker>
            <c:symbol val="none"/>
          </c:marker>
          <c:val>
            <c:numRef>
              <c:f>'PA 10'!$D$14:$AA$14</c:f>
              <c:numCache>
                <c:formatCode>0</c:formatCode>
                <c:ptCount val="24"/>
                <c:pt idx="0">
                  <c:v>15.848931924611136</c:v>
                </c:pt>
                <c:pt idx="1">
                  <c:v>16.788040181225607</c:v>
                </c:pt>
                <c:pt idx="2">
                  <c:v>18.836490894898009</c:v>
                </c:pt>
                <c:pt idx="3">
                  <c:v>22.387211385683404</c:v>
                </c:pt>
                <c:pt idx="4">
                  <c:v>29.853826189179614</c:v>
                </c:pt>
                <c:pt idx="5">
                  <c:v>42.169650342858247</c:v>
                </c:pt>
                <c:pt idx="6">
                  <c:v>42.169650342858247</c:v>
                </c:pt>
                <c:pt idx="7">
                  <c:v>42.169650342858247</c:v>
                </c:pt>
                <c:pt idx="8">
                  <c:v>29.853826189179614</c:v>
                </c:pt>
                <c:pt idx="9">
                  <c:v>22.387211385683404</c:v>
                </c:pt>
                <c:pt idx="10">
                  <c:v>18.836490894898009</c:v>
                </c:pt>
                <c:pt idx="11">
                  <c:v>16.788040181225607</c:v>
                </c:pt>
                <c:pt idx="12">
                  <c:v>15.848931924611136</c:v>
                </c:pt>
                <c:pt idx="13">
                  <c:v>15.848931924611136</c:v>
                </c:pt>
                <c:pt idx="14">
                  <c:v>15.848931924611136</c:v>
                </c:pt>
                <c:pt idx="15">
                  <c:v>15.848931924611136</c:v>
                </c:pt>
                <c:pt idx="16">
                  <c:v>15.848931924611136</c:v>
                </c:pt>
                <c:pt idx="17">
                  <c:v>15.848931924611136</c:v>
                </c:pt>
                <c:pt idx="18">
                  <c:v>15.848931924611136</c:v>
                </c:pt>
                <c:pt idx="19">
                  <c:v>15.848931924611136</c:v>
                </c:pt>
                <c:pt idx="20">
                  <c:v>15.848931924611136</c:v>
                </c:pt>
                <c:pt idx="21">
                  <c:v>15.848931924611136</c:v>
                </c:pt>
                <c:pt idx="22">
                  <c:v>15.848931924611136</c:v>
                </c:pt>
                <c:pt idx="23">
                  <c:v>15.848931924611136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E55-4C81-AA25-B6DF06BC7256}"/>
            </c:ext>
          </c:extLst>
        </c:ser>
        <c:ser>
          <c:idx val="0"/>
          <c:order val="1"/>
          <c:tx>
            <c:v>"smoothed" coverage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'PA 10'!$D$19:$P$19</c:f>
              <c:numCache>
                <c:formatCode>0.0</c:formatCode>
                <c:ptCount val="13"/>
                <c:pt idx="0">
                  <c:v>14.840050385653873</c:v>
                </c:pt>
                <c:pt idx="1">
                  <c:v>15.363550680352921</c:v>
                </c:pt>
                <c:pt idx="2">
                  <c:v>17.135814169889745</c:v>
                </c:pt>
                <c:pt idx="3">
                  <c:v>20.987000521691787</c:v>
                </c:pt>
                <c:pt idx="4">
                  <c:v>29.680100771307739</c:v>
                </c:pt>
                <c:pt idx="5">
                  <c:v>57.337551723736503</c:v>
                </c:pt>
                <c:pt idx="7">
                  <c:v>57.337551723736468</c:v>
                </c:pt>
                <c:pt idx="8">
                  <c:v>29.680100771307757</c:v>
                </c:pt>
                <c:pt idx="9">
                  <c:v>20.987000521691787</c:v>
                </c:pt>
                <c:pt idx="10">
                  <c:v>17.135814169889745</c:v>
                </c:pt>
                <c:pt idx="11">
                  <c:v>15.363550680352921</c:v>
                </c:pt>
                <c:pt idx="12">
                  <c:v>14.840050385653871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5-4C81-AA25-B6DF06BC7256}"/>
            </c:ext>
          </c:extLst>
        </c:ser>
        <c:ser>
          <c:idx val="1"/>
          <c:order val="2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'PA 10'!$D$20:$P$20</c:f>
              <c:numCache>
                <c:formatCode>0.0</c:formatCode>
                <c:ptCount val="13"/>
                <c:pt idx="4">
                  <c:v>47.587194904475346</c:v>
                </c:pt>
                <c:pt idx="5">
                  <c:v>42.665511740633171</c:v>
                </c:pt>
                <c:pt idx="6">
                  <c:v>41.211719682117042</c:v>
                </c:pt>
                <c:pt idx="7">
                  <c:v>42.665511740633171</c:v>
                </c:pt>
                <c:pt idx="8">
                  <c:v>47.587194904475339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55-4C81-AA25-B6DF06BC7256}"/>
            </c:ext>
          </c:extLst>
        </c:ser>
        <c:ser>
          <c:idx val="2"/>
          <c:order val="3"/>
          <c:tx>
            <c:strRef>
              <c:f>'PA 10'!$I$4</c:f>
              <c:strCache>
                <c:ptCount val="1"/>
                <c:pt idx="0">
                  <c:v>Selected tone: DIN (D)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E55-4C81-AA25-B6DF06BC7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62144"/>
        <c:axId val="83068032"/>
      </c:radarChart>
      <c:catAx>
        <c:axId val="83062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83068032"/>
        <c:crosses val="autoZero"/>
        <c:auto val="1"/>
        <c:lblAlgn val="ctr"/>
        <c:lblOffset val="100"/>
        <c:noMultiLvlLbl val="0"/>
      </c:catAx>
      <c:valAx>
        <c:axId val="83068032"/>
        <c:scaling>
          <c:orientation val="minMax"/>
        </c:scaling>
        <c:delete val="0"/>
        <c:axPos val="l"/>
        <c:majorGridlines/>
        <c:numFmt formatCode="0" sourceLinked="1"/>
        <c:majorTickMark val="cross"/>
        <c:minorTickMark val="none"/>
        <c:tickLblPos val="nextTo"/>
        <c:crossAx val="83062144"/>
        <c:crosses val="autoZero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81176805280292341"/>
          <c:y val="0.41973588917823629"/>
          <c:w val="0.17916165241249607"/>
          <c:h val="0.2361317164121608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baseline="0"/>
              <a:t>Polar Diagramm</a:t>
            </a:r>
            <a:r>
              <a:rPr lang="en-US"/>
              <a:t> DS</a:t>
            </a:r>
            <a:r>
              <a:rPr lang="en-US" baseline="0"/>
              <a:t> 10</a:t>
            </a:r>
            <a:r>
              <a:rPr lang="en-US"/>
              <a:t>  @ Selected</a:t>
            </a:r>
            <a:r>
              <a:rPr lang="en-US" baseline="0"/>
              <a:t> Tone</a:t>
            </a:r>
            <a:r>
              <a:rPr lang="en-US"/>
              <a:t> / 24V DC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3"/>
          <c:order val="0"/>
          <c:tx>
            <c:strRef>
              <c:f>'DS 10'!$E$2</c:f>
              <c:strCache>
                <c:ptCount val="1"/>
                <c:pt idx="0">
                  <c:v>85 dB Schalldruck/
sound presure</c:v>
                </c:pt>
              </c:strCache>
            </c:strRef>
          </c:tx>
          <c:marker>
            <c:symbol val="none"/>
          </c:marker>
          <c:val>
            <c:numRef>
              <c:f>'DS 10'!$D$14:$AA$14</c:f>
              <c:numCache>
                <c:formatCode>0</c:formatCode>
                <c:ptCount val="24"/>
                <c:pt idx="0">
                  <c:v>11.220184543019636</c:v>
                </c:pt>
                <c:pt idx="1">
                  <c:v>12.58925411794168</c:v>
                </c:pt>
                <c:pt idx="2">
                  <c:v>12.58925411794168</c:v>
                </c:pt>
                <c:pt idx="3">
                  <c:v>13.335214321633245</c:v>
                </c:pt>
                <c:pt idx="4">
                  <c:v>17.782794100389236</c:v>
                </c:pt>
                <c:pt idx="5">
                  <c:v>25.118864315095799</c:v>
                </c:pt>
                <c:pt idx="6">
                  <c:v>25.118864315095799</c:v>
                </c:pt>
                <c:pt idx="7">
                  <c:v>25.118864315095799</c:v>
                </c:pt>
                <c:pt idx="8">
                  <c:v>17.782794100389236</c:v>
                </c:pt>
                <c:pt idx="9">
                  <c:v>12.58925411794168</c:v>
                </c:pt>
                <c:pt idx="10">
                  <c:v>11.885022274370185</c:v>
                </c:pt>
                <c:pt idx="11">
                  <c:v>11.885022274370185</c:v>
                </c:pt>
                <c:pt idx="12">
                  <c:v>11.220184543019636</c:v>
                </c:pt>
                <c:pt idx="13">
                  <c:v>11.220184543019636</c:v>
                </c:pt>
                <c:pt idx="14">
                  <c:v>11.220184543019636</c:v>
                </c:pt>
                <c:pt idx="15">
                  <c:v>11.220184543019636</c:v>
                </c:pt>
                <c:pt idx="16">
                  <c:v>11.220184543019636</c:v>
                </c:pt>
                <c:pt idx="17">
                  <c:v>11.220184543019636</c:v>
                </c:pt>
                <c:pt idx="18">
                  <c:v>11.220184543019636</c:v>
                </c:pt>
                <c:pt idx="19">
                  <c:v>11.220184543019636</c:v>
                </c:pt>
                <c:pt idx="20">
                  <c:v>11.220184543019636</c:v>
                </c:pt>
                <c:pt idx="21">
                  <c:v>11.220184543019636</c:v>
                </c:pt>
                <c:pt idx="22">
                  <c:v>11.220184543019636</c:v>
                </c:pt>
                <c:pt idx="23">
                  <c:v>11.220184543019636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F7-4003-B42C-6B34BA9A93A5}"/>
            </c:ext>
          </c:extLst>
        </c:ser>
        <c:ser>
          <c:idx val="0"/>
          <c:order val="1"/>
          <c:tx>
            <c:v>"smoothed" coverage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'DS 10'!$D$19:$P$19</c:f>
              <c:numCache>
                <c:formatCode>0.0</c:formatCode>
                <c:ptCount val="13"/>
                <c:pt idx="0">
                  <c:v>9.5769915137523132</c:v>
                </c:pt>
                <c:pt idx="1">
                  <c:v>9.9148311941772747</c:v>
                </c:pt>
                <c:pt idx="2">
                  <c:v>11.058557256983319</c:v>
                </c:pt>
                <c:pt idx="3">
                  <c:v>13.543911285480558</c:v>
                </c:pt>
                <c:pt idx="4">
                  <c:v>19.153983027504623</c:v>
                </c:pt>
                <c:pt idx="5">
                  <c:v>37.002653765138398</c:v>
                </c:pt>
                <c:pt idx="7">
                  <c:v>35.598126590645954</c:v>
                </c:pt>
                <c:pt idx="8">
                  <c:v>18.426946263259293</c:v>
                </c:pt>
                <c:pt idx="9">
                  <c:v>13.029818659310754</c:v>
                </c:pt>
                <c:pt idx="10">
                  <c:v>10.638802385435516</c:v>
                </c:pt>
                <c:pt idx="11">
                  <c:v>9.5384892720244636</c:v>
                </c:pt>
                <c:pt idx="12">
                  <c:v>9.2134731316296428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7-4003-B42C-6B34BA9A93A5}"/>
            </c:ext>
          </c:extLst>
        </c:ser>
        <c:ser>
          <c:idx val="1"/>
          <c:order val="2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'DS 10'!$D$20:$P$20</c:f>
              <c:numCache>
                <c:formatCode>0.0</c:formatCode>
                <c:ptCount val="13"/>
                <c:pt idx="4">
                  <c:v>28.345890521332574</c:v>
                </c:pt>
                <c:pt idx="5">
                  <c:v>25.414230178187701</c:v>
                </c:pt>
                <c:pt idx="6">
                  <c:v>24.548261284366532</c:v>
                </c:pt>
                <c:pt idx="7">
                  <c:v>25.414230178187701</c:v>
                </c:pt>
                <c:pt idx="8">
                  <c:v>28.345890521332571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7-4003-B42C-6B34BA9A93A5}"/>
            </c:ext>
          </c:extLst>
        </c:ser>
        <c:ser>
          <c:idx val="2"/>
          <c:order val="3"/>
          <c:tx>
            <c:strRef>
              <c:f>'DS 10'!$K$4</c:f>
              <c:strCache>
                <c:ptCount val="1"/>
                <c:pt idx="0">
                  <c:v>Selected tone: DIN (D)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E0F7-4003-B42C-6B34BA9A9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79104"/>
        <c:axId val="118480896"/>
      </c:radarChart>
      <c:catAx>
        <c:axId val="11847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8480896"/>
        <c:crosses val="autoZero"/>
        <c:auto val="1"/>
        <c:lblAlgn val="ctr"/>
        <c:lblOffset val="100"/>
        <c:noMultiLvlLbl val="0"/>
      </c:catAx>
      <c:valAx>
        <c:axId val="118480896"/>
        <c:scaling>
          <c:orientation val="minMax"/>
        </c:scaling>
        <c:delete val="0"/>
        <c:axPos val="l"/>
        <c:majorGridlines/>
        <c:numFmt formatCode="0" sourceLinked="1"/>
        <c:majorTickMark val="cross"/>
        <c:minorTickMark val="none"/>
        <c:tickLblPos val="nextTo"/>
        <c:crossAx val="118479104"/>
        <c:crosses val="autoZero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81176805280292341"/>
          <c:y val="0.41973588917823629"/>
          <c:w val="0.17916165241249607"/>
          <c:h val="0.2361317164121608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Polar Diagramm A100</a:t>
            </a:r>
            <a:r>
              <a:rPr lang="en-US"/>
              <a:t> @ DIN-Tone / 24V DC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3"/>
          <c:order val="0"/>
          <c:tx>
            <c:strRef>
              <c:f>'E2S A100'!$E$2</c:f>
              <c:strCache>
                <c:ptCount val="1"/>
                <c:pt idx="0">
                  <c:v>90 dB Schalldruck/
sound presure</c:v>
                </c:pt>
              </c:strCache>
            </c:strRef>
          </c:tx>
          <c:marker>
            <c:symbol val="none"/>
          </c:marker>
          <c:cat>
            <c:numRef>
              <c:f>'E2S A100'!$D$6:$AA$6</c:f>
              <c:numCache>
                <c:formatCode>General</c:formatCode>
                <c:ptCount val="24"/>
                <c:pt idx="0">
                  <c:v>0</c:v>
                </c:pt>
                <c:pt idx="1">
                  <c:v>15</c:v>
                </c:pt>
                <c:pt idx="2">
                  <c:v>30</c:v>
                </c:pt>
                <c:pt idx="3">
                  <c:v>45</c:v>
                </c:pt>
                <c:pt idx="4">
                  <c:v>60</c:v>
                </c:pt>
                <c:pt idx="5">
                  <c:v>75</c:v>
                </c:pt>
                <c:pt idx="6">
                  <c:v>90</c:v>
                </c:pt>
                <c:pt idx="7">
                  <c:v>105</c:v>
                </c:pt>
                <c:pt idx="8">
                  <c:v>120</c:v>
                </c:pt>
                <c:pt idx="9">
                  <c:v>135</c:v>
                </c:pt>
                <c:pt idx="10">
                  <c:v>150</c:v>
                </c:pt>
                <c:pt idx="11">
                  <c:v>165</c:v>
                </c:pt>
                <c:pt idx="12">
                  <c:v>180</c:v>
                </c:pt>
                <c:pt idx="13">
                  <c:v>195</c:v>
                </c:pt>
                <c:pt idx="14">
                  <c:v>210</c:v>
                </c:pt>
                <c:pt idx="15">
                  <c:v>225</c:v>
                </c:pt>
                <c:pt idx="16">
                  <c:v>240</c:v>
                </c:pt>
                <c:pt idx="17">
                  <c:v>255</c:v>
                </c:pt>
                <c:pt idx="18">
                  <c:v>270</c:v>
                </c:pt>
                <c:pt idx="19">
                  <c:v>285</c:v>
                </c:pt>
                <c:pt idx="20">
                  <c:v>300</c:v>
                </c:pt>
                <c:pt idx="21">
                  <c:v>315</c:v>
                </c:pt>
                <c:pt idx="22">
                  <c:v>330</c:v>
                </c:pt>
                <c:pt idx="23">
                  <c:v>345</c:v>
                </c:pt>
              </c:numCache>
            </c:numRef>
          </c:cat>
          <c:val>
            <c:numRef>
              <c:f>'E2S A100'!$D$8:$AA$8</c:f>
              <c:numCache>
                <c:formatCode>0</c:formatCode>
                <c:ptCount val="24"/>
                <c:pt idx="0">
                  <c:v>1.9952623149688797</c:v>
                </c:pt>
                <c:pt idx="1">
                  <c:v>2.5118864315095806</c:v>
                </c:pt>
                <c:pt idx="2">
                  <c:v>3.349654391578277</c:v>
                </c:pt>
                <c:pt idx="3">
                  <c:v>4.2169650342858231</c:v>
                </c:pt>
                <c:pt idx="4">
                  <c:v>4.7315125896148054</c:v>
                </c:pt>
                <c:pt idx="5">
                  <c:v>5.3088444423098844</c:v>
                </c:pt>
                <c:pt idx="6">
                  <c:v>5.0118723362727229</c:v>
                </c:pt>
                <c:pt idx="7">
                  <c:v>5.6234132519034921</c:v>
                </c:pt>
                <c:pt idx="8">
                  <c:v>4.4668359215096318</c:v>
                </c:pt>
                <c:pt idx="9">
                  <c:v>3.1622776601683795</c:v>
                </c:pt>
                <c:pt idx="10">
                  <c:v>2.7542287033381658</c:v>
                </c:pt>
                <c:pt idx="11">
                  <c:v>2.5118864315095806</c:v>
                </c:pt>
                <c:pt idx="12">
                  <c:v>1.9952623149688797</c:v>
                </c:pt>
                <c:pt idx="13">
                  <c:v>1.9952623149688797</c:v>
                </c:pt>
                <c:pt idx="14">
                  <c:v>1.9952623149688797</c:v>
                </c:pt>
                <c:pt idx="15">
                  <c:v>1.9952623149688797</c:v>
                </c:pt>
                <c:pt idx="16">
                  <c:v>1.9952623149688797</c:v>
                </c:pt>
                <c:pt idx="17">
                  <c:v>1.9952623149688797</c:v>
                </c:pt>
                <c:pt idx="18">
                  <c:v>1.9952623149688797</c:v>
                </c:pt>
                <c:pt idx="19">
                  <c:v>1.9952623149688797</c:v>
                </c:pt>
                <c:pt idx="20">
                  <c:v>1.9952623149688797</c:v>
                </c:pt>
                <c:pt idx="21">
                  <c:v>1.9952623149688797</c:v>
                </c:pt>
                <c:pt idx="22">
                  <c:v>1.9952623149688797</c:v>
                </c:pt>
                <c:pt idx="23">
                  <c:v>1.9952623149688797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EE-4D48-8BE1-9189AF293D8C}"/>
            </c:ext>
          </c:extLst>
        </c:ser>
        <c:ser>
          <c:idx val="0"/>
          <c:order val="1"/>
          <c:tx>
            <c:v>"smoothed" coverage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'E2S A100'!$D$13:$P$13</c:f>
              <c:numCache>
                <c:formatCode>0.0</c:formatCode>
                <c:ptCount val="13"/>
                <c:pt idx="0">
                  <c:v>2.4097625379278051</c:v>
                </c:pt>
                <c:pt idx="1">
                  <c:v>2.4947697559612059</c:v>
                </c:pt>
                <c:pt idx="2">
                  <c:v>2.7825540999113878</c:v>
                </c:pt>
                <c:pt idx="3">
                  <c:v>3.4079188632361115</c:v>
                </c:pt>
                <c:pt idx="4">
                  <c:v>4.8195250758556094</c:v>
                </c:pt>
                <c:pt idx="5">
                  <c:v>9.3106074824334311</c:v>
                </c:pt>
                <c:pt idx="7">
                  <c:v>8.2964994974767983</c:v>
                </c:pt>
                <c:pt idx="8">
                  <c:v>4.2945841552609796</c:v>
                </c:pt>
                <c:pt idx="9">
                  <c:v>3.0367295785613386</c:v>
                </c:pt>
                <c:pt idx="10">
                  <c:v>2.4794793180974271</c:v>
                </c:pt>
                <c:pt idx="11">
                  <c:v>2.2230403403541241</c:v>
                </c:pt>
                <c:pt idx="12">
                  <c:v>2.1472920776304889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EE-4D48-8BE1-9189AF293D8C}"/>
            </c:ext>
          </c:extLst>
        </c:ser>
        <c:ser>
          <c:idx val="1"/>
          <c:order val="2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'E2S A100'!$D$14:$L$14</c:f>
              <c:numCache>
                <c:formatCode>0.0</c:formatCode>
                <c:ptCount val="9"/>
                <c:pt idx="4">
                  <c:v>5.9935202496041011</c:v>
                </c:pt>
                <c:pt idx="5">
                  <c:v>5.3736432477375864</c:v>
                </c:pt>
                <c:pt idx="6">
                  <c:v>5.190540794253601</c:v>
                </c:pt>
                <c:pt idx="7">
                  <c:v>5.3736432477375864</c:v>
                </c:pt>
                <c:pt idx="8">
                  <c:v>5.9935202496041002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EE-4D48-8BE1-9189AF293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730368"/>
        <c:axId val="336736256"/>
      </c:radarChart>
      <c:catAx>
        <c:axId val="336730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336736256"/>
        <c:crosses val="autoZero"/>
        <c:auto val="1"/>
        <c:lblAlgn val="ctr"/>
        <c:lblOffset val="100"/>
        <c:noMultiLvlLbl val="0"/>
      </c:catAx>
      <c:valAx>
        <c:axId val="336736256"/>
        <c:scaling>
          <c:orientation val="minMax"/>
        </c:scaling>
        <c:delete val="0"/>
        <c:axPos val="l"/>
        <c:majorGridlines/>
        <c:numFmt formatCode="0" sourceLinked="1"/>
        <c:majorTickMark val="cross"/>
        <c:minorTickMark val="none"/>
        <c:tickLblPos val="nextTo"/>
        <c:crossAx val="336730368"/>
        <c:crosses val="autoZero"/>
        <c:crossBetween val="between"/>
      </c:valAx>
    </c:plotArea>
    <c:legend>
      <c:legendPos val="r"/>
      <c:legendEntry>
        <c:idx val="2"/>
        <c:delete val="1"/>
      </c:legendEntry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Polar Diagramm</a:t>
            </a:r>
            <a:r>
              <a:rPr lang="en-US"/>
              <a:t> A 100  @ DIN-Tone / 24V DC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3"/>
          <c:order val="0"/>
          <c:tx>
            <c:strRef>
              <c:f>'A 100'!$E$2</c:f>
              <c:strCache>
                <c:ptCount val="1"/>
                <c:pt idx="0">
                  <c:v>90 dB Schalldruck/
sound presure</c:v>
                </c:pt>
              </c:strCache>
            </c:strRef>
          </c:tx>
          <c:marker>
            <c:symbol val="none"/>
          </c:marker>
          <c:cat>
            <c:numRef>
              <c:f>'A 100'!$D$6:$AA$6</c:f>
              <c:numCache>
                <c:formatCode>General</c:formatCode>
                <c:ptCount val="24"/>
                <c:pt idx="0">
                  <c:v>0</c:v>
                </c:pt>
                <c:pt idx="1">
                  <c:v>15</c:v>
                </c:pt>
                <c:pt idx="2">
                  <c:v>30</c:v>
                </c:pt>
                <c:pt idx="3">
                  <c:v>45</c:v>
                </c:pt>
                <c:pt idx="4">
                  <c:v>60</c:v>
                </c:pt>
                <c:pt idx="5">
                  <c:v>75</c:v>
                </c:pt>
                <c:pt idx="6">
                  <c:v>90</c:v>
                </c:pt>
                <c:pt idx="7">
                  <c:v>105</c:v>
                </c:pt>
                <c:pt idx="8">
                  <c:v>120</c:v>
                </c:pt>
                <c:pt idx="9">
                  <c:v>135</c:v>
                </c:pt>
                <c:pt idx="10">
                  <c:v>150</c:v>
                </c:pt>
                <c:pt idx="11">
                  <c:v>165</c:v>
                </c:pt>
                <c:pt idx="12">
                  <c:v>180</c:v>
                </c:pt>
                <c:pt idx="13">
                  <c:v>195</c:v>
                </c:pt>
                <c:pt idx="14">
                  <c:v>210</c:v>
                </c:pt>
                <c:pt idx="15">
                  <c:v>225</c:v>
                </c:pt>
                <c:pt idx="16">
                  <c:v>240</c:v>
                </c:pt>
                <c:pt idx="17">
                  <c:v>255</c:v>
                </c:pt>
                <c:pt idx="18">
                  <c:v>270</c:v>
                </c:pt>
                <c:pt idx="19">
                  <c:v>285</c:v>
                </c:pt>
                <c:pt idx="20">
                  <c:v>300</c:v>
                </c:pt>
                <c:pt idx="21">
                  <c:v>315</c:v>
                </c:pt>
                <c:pt idx="22">
                  <c:v>330</c:v>
                </c:pt>
                <c:pt idx="23">
                  <c:v>345</c:v>
                </c:pt>
              </c:numCache>
            </c:numRef>
          </c:cat>
          <c:val>
            <c:numRef>
              <c:f>'A 100'!$D$8:$AA$8</c:f>
              <c:numCache>
                <c:formatCode>0</c:formatCode>
                <c:ptCount val="24"/>
                <c:pt idx="0">
                  <c:v>2.5118864315095806</c:v>
                </c:pt>
                <c:pt idx="1">
                  <c:v>2.98538261891796</c:v>
                </c:pt>
                <c:pt idx="2">
                  <c:v>3.7583740428844421</c:v>
                </c:pt>
                <c:pt idx="3">
                  <c:v>4.4668359215096318</c:v>
                </c:pt>
                <c:pt idx="4">
                  <c:v>5.3088444423098844</c:v>
                </c:pt>
                <c:pt idx="5">
                  <c:v>6.3095734448019343</c:v>
                </c:pt>
                <c:pt idx="6">
                  <c:v>5.6234132519034921</c:v>
                </c:pt>
                <c:pt idx="7">
                  <c:v>6.3095734448019343</c:v>
                </c:pt>
                <c:pt idx="8">
                  <c:v>4.4668359215096318</c:v>
                </c:pt>
                <c:pt idx="9">
                  <c:v>3.9810717055349727</c:v>
                </c:pt>
                <c:pt idx="10">
                  <c:v>3.349654391578277</c:v>
                </c:pt>
                <c:pt idx="11">
                  <c:v>2.98538261891796</c:v>
                </c:pt>
                <c:pt idx="12">
                  <c:v>2.5118864315095806</c:v>
                </c:pt>
                <c:pt idx="13">
                  <c:v>2.5118864315095806</c:v>
                </c:pt>
                <c:pt idx="14">
                  <c:v>2.5118864315095806</c:v>
                </c:pt>
                <c:pt idx="15">
                  <c:v>2.5118864315095806</c:v>
                </c:pt>
                <c:pt idx="16">
                  <c:v>2.5118864315095806</c:v>
                </c:pt>
                <c:pt idx="17">
                  <c:v>2.5118864315095806</c:v>
                </c:pt>
                <c:pt idx="18">
                  <c:v>2.5118864315095806</c:v>
                </c:pt>
                <c:pt idx="19">
                  <c:v>2.5118864315095806</c:v>
                </c:pt>
                <c:pt idx="20">
                  <c:v>2.5118864315095806</c:v>
                </c:pt>
                <c:pt idx="21">
                  <c:v>2.5118864315095806</c:v>
                </c:pt>
                <c:pt idx="22">
                  <c:v>2.5118864315095806</c:v>
                </c:pt>
                <c:pt idx="23">
                  <c:v>2.5118864315095806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0-4573-8A71-1365C7A44744}"/>
            </c:ext>
          </c:extLst>
        </c:ser>
        <c:ser>
          <c:idx val="0"/>
          <c:order val="1"/>
          <c:tx>
            <c:v>"smoothed" coverage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 100'!$D$13:$P$13</c:f>
              <c:numCache>
                <c:formatCode>0.0</c:formatCode>
                <c:ptCount val="13"/>
                <c:pt idx="0">
                  <c:v>2.7168991073438455</c:v>
                </c:pt>
                <c:pt idx="1">
                  <c:v>2.8127409304105004</c:v>
                </c:pt>
                <c:pt idx="2">
                  <c:v>3.1372048619720463</c:v>
                </c:pt>
                <c:pt idx="3">
                  <c:v>3.8422755652050213</c:v>
                </c:pt>
                <c:pt idx="4">
                  <c:v>5.4337982146876902</c:v>
                </c:pt>
                <c:pt idx="5">
                  <c:v>10.497292060820545</c:v>
                </c:pt>
                <c:pt idx="7">
                  <c:v>9.6330179250531351</c:v>
                </c:pt>
                <c:pt idx="8">
                  <c:v>4.9864170016354405</c:v>
                </c:pt>
                <c:pt idx="9">
                  <c:v>3.5259292756803111</c:v>
                </c:pt>
                <c:pt idx="10">
                  <c:v>2.8789091981859469</c:v>
                </c:pt>
                <c:pt idx="11">
                  <c:v>2.5811593736925182</c:v>
                </c:pt>
                <c:pt idx="12">
                  <c:v>2.4932085008177194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0-4573-8A71-1365C7A44744}"/>
            </c:ext>
          </c:extLst>
        </c:ser>
        <c:ser>
          <c:idx val="1"/>
          <c:order val="2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 100'!$D$14:$L$14</c:f>
              <c:numCache>
                <c:formatCode>0.0</c:formatCode>
                <c:ptCount val="9"/>
                <c:pt idx="4">
                  <c:v>6.856062597574387</c:v>
                </c:pt>
                <c:pt idx="5">
                  <c:v>6.1469775606339869</c:v>
                </c:pt>
                <c:pt idx="6">
                  <c:v>5.9375243794357457</c:v>
                </c:pt>
                <c:pt idx="7">
                  <c:v>6.1469775606339869</c:v>
                </c:pt>
                <c:pt idx="8">
                  <c:v>6.8560625975743861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0-4573-8A71-1365C7A4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534336"/>
        <c:axId val="331535872"/>
      </c:radarChart>
      <c:catAx>
        <c:axId val="331534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331535872"/>
        <c:crosses val="autoZero"/>
        <c:auto val="1"/>
        <c:lblAlgn val="ctr"/>
        <c:lblOffset val="100"/>
        <c:noMultiLvlLbl val="0"/>
      </c:catAx>
      <c:valAx>
        <c:axId val="331535872"/>
        <c:scaling>
          <c:orientation val="minMax"/>
        </c:scaling>
        <c:delete val="0"/>
        <c:axPos val="l"/>
        <c:majorGridlines/>
        <c:numFmt formatCode="0" sourceLinked="1"/>
        <c:majorTickMark val="cross"/>
        <c:minorTickMark val="none"/>
        <c:tickLblPos val="nextTo"/>
        <c:crossAx val="331534336"/>
        <c:crosses val="autoZero"/>
        <c:crossBetween val="between"/>
      </c:valAx>
    </c:plotArea>
    <c:legend>
      <c:legendPos val="r"/>
      <c:legendEntry>
        <c:idx val="2"/>
        <c:delete val="1"/>
      </c:legendEntry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Polar Diagramm</a:t>
            </a:r>
            <a:r>
              <a:rPr lang="en-US"/>
              <a:t> A 105N  @ DIN-Tone / 24V DC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3"/>
          <c:order val="0"/>
          <c:tx>
            <c:strRef>
              <c:f>'A 105N'!$E$2</c:f>
              <c:strCache>
                <c:ptCount val="1"/>
                <c:pt idx="0">
                  <c:v>90 dB Schalldruck/
sound presure</c:v>
                </c:pt>
              </c:strCache>
            </c:strRef>
          </c:tx>
          <c:marker>
            <c:symbol val="none"/>
          </c:marker>
          <c:cat>
            <c:numRef>
              <c:f>'A 105N'!$D$6:$AA$6</c:f>
              <c:numCache>
                <c:formatCode>General</c:formatCode>
                <c:ptCount val="24"/>
                <c:pt idx="0">
                  <c:v>0</c:v>
                </c:pt>
                <c:pt idx="1">
                  <c:v>15</c:v>
                </c:pt>
                <c:pt idx="2">
                  <c:v>30</c:v>
                </c:pt>
                <c:pt idx="3">
                  <c:v>45</c:v>
                </c:pt>
                <c:pt idx="4">
                  <c:v>60</c:v>
                </c:pt>
                <c:pt idx="5">
                  <c:v>75</c:v>
                </c:pt>
                <c:pt idx="6">
                  <c:v>90</c:v>
                </c:pt>
                <c:pt idx="7">
                  <c:v>105</c:v>
                </c:pt>
                <c:pt idx="8">
                  <c:v>120</c:v>
                </c:pt>
                <c:pt idx="9">
                  <c:v>135</c:v>
                </c:pt>
                <c:pt idx="10">
                  <c:v>150</c:v>
                </c:pt>
                <c:pt idx="11">
                  <c:v>165</c:v>
                </c:pt>
                <c:pt idx="12">
                  <c:v>180</c:v>
                </c:pt>
                <c:pt idx="13">
                  <c:v>195</c:v>
                </c:pt>
                <c:pt idx="14">
                  <c:v>210</c:v>
                </c:pt>
                <c:pt idx="15">
                  <c:v>225</c:v>
                </c:pt>
                <c:pt idx="16">
                  <c:v>240</c:v>
                </c:pt>
                <c:pt idx="17">
                  <c:v>255</c:v>
                </c:pt>
                <c:pt idx="18">
                  <c:v>270</c:v>
                </c:pt>
                <c:pt idx="19">
                  <c:v>285</c:v>
                </c:pt>
                <c:pt idx="20">
                  <c:v>300</c:v>
                </c:pt>
                <c:pt idx="21">
                  <c:v>315</c:v>
                </c:pt>
                <c:pt idx="22">
                  <c:v>330</c:v>
                </c:pt>
                <c:pt idx="23">
                  <c:v>345</c:v>
                </c:pt>
              </c:numCache>
            </c:numRef>
          </c:cat>
          <c:val>
            <c:numRef>
              <c:f>'A 105N'!$D$8:$AA$8</c:f>
              <c:numCache>
                <c:formatCode>0</c:formatCode>
                <c:ptCount val="24"/>
                <c:pt idx="0">
                  <c:v>2.5118864315095806</c:v>
                </c:pt>
                <c:pt idx="1">
                  <c:v>2.98538261891796</c:v>
                </c:pt>
                <c:pt idx="2">
                  <c:v>3.7583740428844421</c:v>
                </c:pt>
                <c:pt idx="3">
                  <c:v>4.4668359215096318</c:v>
                </c:pt>
                <c:pt idx="4">
                  <c:v>5.3088444423098844</c:v>
                </c:pt>
                <c:pt idx="5">
                  <c:v>6.3095734448019343</c:v>
                </c:pt>
                <c:pt idx="6">
                  <c:v>5.6234132519034921</c:v>
                </c:pt>
                <c:pt idx="7">
                  <c:v>6.3095734448019343</c:v>
                </c:pt>
                <c:pt idx="8">
                  <c:v>4.4668359215096318</c:v>
                </c:pt>
                <c:pt idx="9">
                  <c:v>3.9810717055349727</c:v>
                </c:pt>
                <c:pt idx="10">
                  <c:v>3.349654391578277</c:v>
                </c:pt>
                <c:pt idx="11">
                  <c:v>2.98538261891796</c:v>
                </c:pt>
                <c:pt idx="12">
                  <c:v>2.5118864315095806</c:v>
                </c:pt>
                <c:pt idx="13">
                  <c:v>2.5118864315095806</c:v>
                </c:pt>
                <c:pt idx="14">
                  <c:v>2.5118864315095806</c:v>
                </c:pt>
                <c:pt idx="15">
                  <c:v>2.5118864315095806</c:v>
                </c:pt>
                <c:pt idx="16">
                  <c:v>2.5118864315095806</c:v>
                </c:pt>
                <c:pt idx="17">
                  <c:v>2.5118864315095806</c:v>
                </c:pt>
                <c:pt idx="18">
                  <c:v>2.5118864315095806</c:v>
                </c:pt>
                <c:pt idx="19">
                  <c:v>2.5118864315095806</c:v>
                </c:pt>
                <c:pt idx="20">
                  <c:v>2.5118864315095806</c:v>
                </c:pt>
                <c:pt idx="21">
                  <c:v>2.5118864315095806</c:v>
                </c:pt>
                <c:pt idx="22">
                  <c:v>2.5118864315095806</c:v>
                </c:pt>
                <c:pt idx="23">
                  <c:v>2.5118864315095806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A-4840-A3A4-2336CDC023D2}"/>
            </c:ext>
          </c:extLst>
        </c:ser>
        <c:ser>
          <c:idx val="0"/>
          <c:order val="1"/>
          <c:tx>
            <c:v>"smoothed" coverage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 105N'!$D$13:$P$13</c:f>
              <c:numCache>
                <c:formatCode>0.0</c:formatCode>
                <c:ptCount val="13"/>
                <c:pt idx="0">
                  <c:v>2.7168991073438455</c:v>
                </c:pt>
                <c:pt idx="1">
                  <c:v>2.8127409304105004</c:v>
                </c:pt>
                <c:pt idx="2">
                  <c:v>3.1372048619720463</c:v>
                </c:pt>
                <c:pt idx="3">
                  <c:v>3.8422755652050213</c:v>
                </c:pt>
                <c:pt idx="4">
                  <c:v>5.4337982146876902</c:v>
                </c:pt>
                <c:pt idx="5">
                  <c:v>10.497292060820545</c:v>
                </c:pt>
                <c:pt idx="7">
                  <c:v>9.6330179250531351</c:v>
                </c:pt>
                <c:pt idx="8">
                  <c:v>4.9864170016354405</c:v>
                </c:pt>
                <c:pt idx="9">
                  <c:v>3.5259292756803111</c:v>
                </c:pt>
                <c:pt idx="10">
                  <c:v>2.8789091981859469</c:v>
                </c:pt>
                <c:pt idx="11">
                  <c:v>2.5811593736925182</c:v>
                </c:pt>
                <c:pt idx="12">
                  <c:v>2.4932085008177194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A-4840-A3A4-2336CDC023D2}"/>
            </c:ext>
          </c:extLst>
        </c:ser>
        <c:ser>
          <c:idx val="1"/>
          <c:order val="2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 105N'!$D$14:$L$14</c:f>
              <c:numCache>
                <c:formatCode>0.0</c:formatCode>
                <c:ptCount val="9"/>
                <c:pt idx="4">
                  <c:v>6.856062597574387</c:v>
                </c:pt>
                <c:pt idx="5">
                  <c:v>6.1469775606339869</c:v>
                </c:pt>
                <c:pt idx="6">
                  <c:v>5.9375243794357457</c:v>
                </c:pt>
                <c:pt idx="7">
                  <c:v>6.1469775606339869</c:v>
                </c:pt>
                <c:pt idx="8">
                  <c:v>6.8560625975743861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4A-4840-A3A4-2336CDC02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587968"/>
        <c:axId val="331589504"/>
      </c:radarChart>
      <c:catAx>
        <c:axId val="331587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331589504"/>
        <c:crosses val="autoZero"/>
        <c:auto val="1"/>
        <c:lblAlgn val="ctr"/>
        <c:lblOffset val="100"/>
        <c:noMultiLvlLbl val="0"/>
      </c:catAx>
      <c:valAx>
        <c:axId val="331589504"/>
        <c:scaling>
          <c:orientation val="minMax"/>
        </c:scaling>
        <c:delete val="0"/>
        <c:axPos val="l"/>
        <c:majorGridlines/>
        <c:numFmt formatCode="0" sourceLinked="1"/>
        <c:majorTickMark val="cross"/>
        <c:minorTickMark val="none"/>
        <c:tickLblPos val="nextTo"/>
        <c:crossAx val="331587968"/>
        <c:crosses val="autoZero"/>
        <c:crossBetween val="between"/>
      </c:valAx>
    </c:plotArea>
    <c:legend>
      <c:legendPos val="r"/>
      <c:legendEntry>
        <c:idx val="2"/>
        <c:delete val="1"/>
      </c:legendEntry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8</xdr:row>
      <xdr:rowOff>47625</xdr:rowOff>
    </xdr:from>
    <xdr:to>
      <xdr:col>8</xdr:col>
      <xdr:colOff>665915</xdr:colOff>
      <xdr:row>11</xdr:row>
      <xdr:rowOff>152316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571625"/>
          <a:ext cx="6685715" cy="6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114300</xdr:rowOff>
    </xdr:from>
    <xdr:to>
      <xdr:col>4</xdr:col>
      <xdr:colOff>180572</xdr:colOff>
      <xdr:row>15</xdr:row>
      <xdr:rowOff>28538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90800"/>
          <a:ext cx="3228572" cy="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618694</xdr:colOff>
      <xdr:row>30</xdr:row>
      <xdr:rowOff>161925</xdr:rowOff>
    </xdr:from>
    <xdr:to>
      <xdr:col>15</xdr:col>
      <xdr:colOff>399768</xdr:colOff>
      <xdr:row>36</xdr:row>
      <xdr:rowOff>76200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0344" y="4191000"/>
          <a:ext cx="1305074" cy="10572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47625</xdr:rowOff>
    </xdr:from>
    <xdr:to>
      <xdr:col>12</xdr:col>
      <xdr:colOff>609600</xdr:colOff>
      <xdr:row>51</xdr:row>
      <xdr:rowOff>152400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568404</xdr:colOff>
      <xdr:row>32</xdr:row>
      <xdr:rowOff>76201</xdr:rowOff>
    </xdr:from>
    <xdr:to>
      <xdr:col>15</xdr:col>
      <xdr:colOff>561698</xdr:colOff>
      <xdr:row>39</xdr:row>
      <xdr:rowOff>19051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0054" y="4486276"/>
          <a:ext cx="1517294" cy="127635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26</xdr:row>
      <xdr:rowOff>38100</xdr:rowOff>
    </xdr:from>
    <xdr:to>
      <xdr:col>12</xdr:col>
      <xdr:colOff>619125</xdr:colOff>
      <xdr:row>51</xdr:row>
      <xdr:rowOff>142875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692012</xdr:colOff>
      <xdr:row>28</xdr:row>
      <xdr:rowOff>142874</xdr:rowOff>
    </xdr:from>
    <xdr:to>
      <xdr:col>15</xdr:col>
      <xdr:colOff>399753</xdr:colOff>
      <xdr:row>34</xdr:row>
      <xdr:rowOff>133075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83662" y="3790949"/>
          <a:ext cx="1231741" cy="113320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38100</xdr:rowOff>
    </xdr:from>
    <xdr:to>
      <xdr:col>12</xdr:col>
      <xdr:colOff>628650</xdr:colOff>
      <xdr:row>51</xdr:row>
      <xdr:rowOff>142875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19</xdr:row>
      <xdr:rowOff>38100</xdr:rowOff>
    </xdr:from>
    <xdr:to>
      <xdr:col>12</xdr:col>
      <xdr:colOff>619125</xdr:colOff>
      <xdr:row>44</xdr:row>
      <xdr:rowOff>142875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400050</xdr:colOff>
      <xdr:row>19</xdr:row>
      <xdr:rowOff>38100</xdr:rowOff>
    </xdr:from>
    <xdr:to>
      <xdr:col>16</xdr:col>
      <xdr:colOff>505215</xdr:colOff>
      <xdr:row>26</xdr:row>
      <xdr:rowOff>97090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20400" y="3686175"/>
          <a:ext cx="1629165" cy="1440115"/>
        </a:xfrm>
        <a:prstGeom prst="rect">
          <a:avLst/>
        </a:prstGeom>
      </xdr:spPr>
    </xdr:pic>
    <xdr:clientData/>
  </xdr:twoCellAnchor>
  <xdr:twoCellAnchor editAs="oneCell">
    <xdr:from>
      <xdr:col>13</xdr:col>
      <xdr:colOff>312965</xdr:colOff>
      <xdr:row>27</xdr:row>
      <xdr:rowOff>81642</xdr:rowOff>
    </xdr:from>
    <xdr:to>
      <xdr:col>19</xdr:col>
      <xdr:colOff>183561</xdr:colOff>
      <xdr:row>44</xdr:row>
      <xdr:rowOff>13607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74036" y="5333999"/>
          <a:ext cx="4442596" cy="31704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19</xdr:row>
      <xdr:rowOff>38100</xdr:rowOff>
    </xdr:from>
    <xdr:to>
      <xdr:col>12</xdr:col>
      <xdr:colOff>619125</xdr:colOff>
      <xdr:row>44</xdr:row>
      <xdr:rowOff>142875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200025</xdr:colOff>
      <xdr:row>27</xdr:row>
      <xdr:rowOff>28575</xdr:rowOff>
    </xdr:from>
    <xdr:to>
      <xdr:col>16</xdr:col>
      <xdr:colOff>533370</xdr:colOff>
      <xdr:row>36</xdr:row>
      <xdr:rowOff>18506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3675" y="5248275"/>
          <a:ext cx="1857345" cy="1704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19</xdr:row>
      <xdr:rowOff>38100</xdr:rowOff>
    </xdr:from>
    <xdr:to>
      <xdr:col>12</xdr:col>
      <xdr:colOff>619125</xdr:colOff>
      <xdr:row>44</xdr:row>
      <xdr:rowOff>142875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209550</xdr:colOff>
      <xdr:row>25</xdr:row>
      <xdr:rowOff>180974</xdr:rowOff>
    </xdr:from>
    <xdr:to>
      <xdr:col>15</xdr:col>
      <xdr:colOff>644023</xdr:colOff>
      <xdr:row>35</xdr:row>
      <xdr:rowOff>161341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0" y="5019674"/>
          <a:ext cx="1958473" cy="18853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3"/>
  <sheetViews>
    <sheetView workbookViewId="0">
      <selection activeCell="C37" sqref="C37"/>
    </sheetView>
  </sheetViews>
  <sheetFormatPr baseColWidth="10" defaultRowHeight="15" x14ac:dyDescent="0.25"/>
  <sheetData>
    <row r="2" spans="1:5" x14ac:dyDescent="0.25">
      <c r="A2" t="s">
        <v>26</v>
      </c>
    </row>
    <row r="3" spans="1:5" s="22" customFormat="1" x14ac:dyDescent="0.25">
      <c r="A3" s="22" t="s">
        <v>30</v>
      </c>
    </row>
    <row r="4" spans="1:5" x14ac:dyDescent="0.25">
      <c r="A4" t="s">
        <v>27</v>
      </c>
    </row>
    <row r="5" spans="1:5" s="33" customFormat="1" x14ac:dyDescent="0.25">
      <c r="A5" s="35" t="s">
        <v>41</v>
      </c>
      <c r="B5" s="36" t="s">
        <v>42</v>
      </c>
      <c r="C5" s="33" t="s">
        <v>40</v>
      </c>
      <c r="E5" s="33" t="s">
        <v>58</v>
      </c>
    </row>
    <row r="6" spans="1:5" s="33" customFormat="1" x14ac:dyDescent="0.25">
      <c r="A6" s="37" t="s">
        <v>41</v>
      </c>
      <c r="B6" s="36" t="s">
        <v>42</v>
      </c>
      <c r="C6" s="33" t="s">
        <v>43</v>
      </c>
      <c r="E6" s="33" t="s">
        <v>57</v>
      </c>
    </row>
    <row r="7" spans="1:5" x14ac:dyDescent="0.25">
      <c r="A7" t="s">
        <v>28</v>
      </c>
    </row>
    <row r="8" spans="1:5" x14ac:dyDescent="0.25">
      <c r="A8" t="s">
        <v>47</v>
      </c>
    </row>
    <row r="13" spans="1:5" s="34" customFormat="1" x14ac:dyDescent="0.25">
      <c r="A13" s="34" t="s">
        <v>48</v>
      </c>
    </row>
    <row r="14" spans="1:5" s="34" customFormat="1" x14ac:dyDescent="0.25"/>
    <row r="15" spans="1:5" s="34" customFormat="1" x14ac:dyDescent="0.25"/>
    <row r="16" spans="1:5" s="34" customFormat="1" x14ac:dyDescent="0.25"/>
    <row r="17" spans="1:2" x14ac:dyDescent="0.25">
      <c r="A17" t="s">
        <v>49</v>
      </c>
    </row>
    <row r="18" spans="1:2" x14ac:dyDescent="0.25">
      <c r="A18" t="s">
        <v>31</v>
      </c>
    </row>
    <row r="20" spans="1:2" x14ac:dyDescent="0.25">
      <c r="A20" t="s">
        <v>32</v>
      </c>
      <c r="B20" t="s">
        <v>33</v>
      </c>
    </row>
    <row r="21" spans="1:2" x14ac:dyDescent="0.25">
      <c r="B21" t="s">
        <v>37</v>
      </c>
    </row>
    <row r="22" spans="1:2" x14ac:dyDescent="0.25">
      <c r="A22" s="24" t="s">
        <v>34</v>
      </c>
      <c r="B22" t="s">
        <v>35</v>
      </c>
    </row>
    <row r="23" spans="1:2" x14ac:dyDescent="0.25">
      <c r="B23" t="s">
        <v>36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AA26"/>
  <sheetViews>
    <sheetView tabSelected="1" zoomScaleNormal="100" workbookViewId="0">
      <selection activeCell="J4" sqref="J4"/>
    </sheetView>
  </sheetViews>
  <sheetFormatPr baseColWidth="10" defaultRowHeight="15" x14ac:dyDescent="0.25"/>
  <cols>
    <col min="1" max="1" width="17.42578125" customWidth="1"/>
    <col min="2" max="2" width="6.85546875" customWidth="1"/>
    <col min="3" max="3" width="7.140625" customWidth="1"/>
    <col min="10" max="10" width="11.42578125" customWidth="1"/>
    <col min="15" max="16" width="11.42578125" customWidth="1"/>
    <col min="17" max="27" width="11.42578125" style="8"/>
  </cols>
  <sheetData>
    <row r="1" spans="1:27" s="38" customFormat="1" x14ac:dyDescent="0.25">
      <c r="A1" s="42" t="s">
        <v>46</v>
      </c>
      <c r="B1" s="43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35.25" customHeight="1" x14ac:dyDescent="0.25">
      <c r="A2" s="77" t="s">
        <v>1</v>
      </c>
      <c r="B2" s="77"/>
      <c r="C2" s="40">
        <v>75</v>
      </c>
      <c r="D2" s="31" t="s">
        <v>12</v>
      </c>
      <c r="E2" s="27" t="str">
        <f>CONCATENATE(M2," dB Schalldruck/
sound presure")</f>
        <v>85 dB Schalldruck/
sound presure</v>
      </c>
      <c r="F2" s="75" t="s">
        <v>11</v>
      </c>
      <c r="G2" s="75"/>
      <c r="H2" s="41">
        <v>10</v>
      </c>
      <c r="I2" s="32" t="s">
        <v>0</v>
      </c>
      <c r="K2" s="76" t="s">
        <v>10</v>
      </c>
      <c r="L2" s="77"/>
      <c r="M2" s="15">
        <f>C2+H2</f>
        <v>85</v>
      </c>
      <c r="N2" s="32" t="s">
        <v>12</v>
      </c>
    </row>
    <row r="3" spans="1:27" s="55" customFormat="1" ht="15.75" x14ac:dyDescent="0.25">
      <c r="D3" s="45" t="s">
        <v>14</v>
      </c>
      <c r="E3" s="46" t="s">
        <v>19</v>
      </c>
      <c r="F3" s="46"/>
      <c r="G3" s="46"/>
      <c r="H3" s="46"/>
      <c r="I3" s="46"/>
      <c r="J3" s="46"/>
      <c r="K3" s="47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</row>
    <row r="4" spans="1:27" s="38" customFormat="1" ht="15.75" x14ac:dyDescent="0.25">
      <c r="D4" s="48" t="s">
        <v>15</v>
      </c>
      <c r="E4" s="83" t="s">
        <v>59</v>
      </c>
      <c r="F4" s="83"/>
      <c r="G4" s="44" t="s">
        <v>42</v>
      </c>
      <c r="H4" s="49" t="str">
        <f>IF(E4="DIN (D)","Tone 2",(IF(E4="Slow Whoop (NL)","Tone 15",(IF(E4="Cont. 825 Hz","Tone 60",(IF(E4="Interrupted 660 Hz (S)","Tone 104",(IF(E4="Alternating (UK)","Tone 131","Tone 146")))))))))</f>
        <v>Tone 2</v>
      </c>
      <c r="I4" s="57" t="str">
        <f>CONCATENATE("Selected tone: ",E4)</f>
        <v>Selected tone: DIN (D)</v>
      </c>
      <c r="J4" s="49"/>
      <c r="K4" s="50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55" customFormat="1" ht="15.75" x14ac:dyDescent="0.25">
      <c r="D5" s="79" t="s">
        <v>2</v>
      </c>
      <c r="E5" s="80"/>
      <c r="F5" s="80"/>
      <c r="G5" s="80"/>
      <c r="H5" s="80"/>
      <c r="I5" s="80"/>
      <c r="J5" s="80"/>
      <c r="K5" s="81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</row>
    <row r="6" spans="1:27" x14ac:dyDescent="0.25">
      <c r="A6" s="78" t="s">
        <v>7</v>
      </c>
      <c r="B6" s="78"/>
      <c r="C6" s="78"/>
      <c r="D6" s="12">
        <v>0</v>
      </c>
      <c r="E6" s="12">
        <v>15</v>
      </c>
      <c r="F6" s="12">
        <v>30</v>
      </c>
      <c r="G6" s="12">
        <v>45</v>
      </c>
      <c r="H6" s="12">
        <v>60</v>
      </c>
      <c r="I6" s="12">
        <v>75</v>
      </c>
      <c r="J6" s="12">
        <v>90</v>
      </c>
      <c r="K6" s="12">
        <v>105</v>
      </c>
      <c r="L6" s="12">
        <v>120</v>
      </c>
      <c r="M6" s="12">
        <v>135</v>
      </c>
      <c r="N6" s="12">
        <v>150</v>
      </c>
      <c r="O6" s="12">
        <v>165</v>
      </c>
      <c r="P6" s="12">
        <v>180</v>
      </c>
      <c r="Q6" s="8">
        <f>P6+15</f>
        <v>195</v>
      </c>
      <c r="R6" s="8">
        <f>Q6+15</f>
        <v>210</v>
      </c>
      <c r="S6" s="8">
        <f t="shared" ref="S6:Z6" si="0">R6+15</f>
        <v>225</v>
      </c>
      <c r="T6" s="8">
        <f t="shared" si="0"/>
        <v>240</v>
      </c>
      <c r="U6" s="8">
        <f t="shared" si="0"/>
        <v>255</v>
      </c>
      <c r="V6" s="8">
        <f t="shared" si="0"/>
        <v>270</v>
      </c>
      <c r="W6" s="8">
        <f t="shared" si="0"/>
        <v>285</v>
      </c>
      <c r="X6" s="8">
        <f t="shared" si="0"/>
        <v>300</v>
      </c>
      <c r="Y6" s="8">
        <f t="shared" si="0"/>
        <v>315</v>
      </c>
      <c r="Z6" s="8">
        <f t="shared" si="0"/>
        <v>330</v>
      </c>
      <c r="AA6" s="8">
        <f>Z6+15</f>
        <v>345</v>
      </c>
    </row>
    <row r="7" spans="1:27" s="38" customFormat="1" hidden="1" x14ac:dyDescent="0.25">
      <c r="A7" s="78" t="s">
        <v>45</v>
      </c>
      <c r="B7" s="78"/>
      <c r="C7" s="78"/>
      <c r="D7" s="13">
        <v>95.5</v>
      </c>
      <c r="E7" s="51">
        <v>96</v>
      </c>
      <c r="F7" s="13">
        <v>98</v>
      </c>
      <c r="G7" s="51">
        <v>101</v>
      </c>
      <c r="H7" s="13">
        <v>103.2</v>
      </c>
      <c r="I7" s="51">
        <v>105.3</v>
      </c>
      <c r="J7" s="13">
        <v>105.5</v>
      </c>
      <c r="K7" s="51">
        <v>105.3</v>
      </c>
      <c r="L7" s="13">
        <v>103.2</v>
      </c>
      <c r="M7" s="51">
        <v>101</v>
      </c>
      <c r="N7" s="13">
        <v>98</v>
      </c>
      <c r="O7" s="51">
        <v>96</v>
      </c>
      <c r="P7" s="13">
        <v>95.5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s="38" customFormat="1" hidden="1" x14ac:dyDescent="0.25">
      <c r="A8" s="78" t="s">
        <v>44</v>
      </c>
      <c r="B8" s="78"/>
      <c r="C8" s="78"/>
      <c r="D8" s="13">
        <v>95.5</v>
      </c>
      <c r="E8" s="51">
        <v>95.8</v>
      </c>
      <c r="F8" s="13">
        <v>98.5</v>
      </c>
      <c r="G8" s="51">
        <v>102</v>
      </c>
      <c r="H8" s="13">
        <v>104.6</v>
      </c>
      <c r="I8" s="51">
        <v>106.3</v>
      </c>
      <c r="J8" s="13">
        <v>106.9</v>
      </c>
      <c r="K8" s="51">
        <v>105.3</v>
      </c>
      <c r="L8" s="13">
        <v>103.5</v>
      </c>
      <c r="M8" s="51">
        <v>100.9</v>
      </c>
      <c r="N8" s="13">
        <v>97.8</v>
      </c>
      <c r="O8" s="51">
        <v>94.2</v>
      </c>
      <c r="P8" s="13">
        <v>94</v>
      </c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27" s="38" customFormat="1" hidden="1" x14ac:dyDescent="0.25">
      <c r="A9" s="78" t="str">
        <f>CONCATENATE("Output (dB(A)) @ ",AC7,"(H)")</f>
        <v>Output (dB(A)) @ (H)</v>
      </c>
      <c r="B9" s="78"/>
      <c r="C9" s="78"/>
      <c r="D9" s="13">
        <v>88</v>
      </c>
      <c r="E9" s="51">
        <v>88.2</v>
      </c>
      <c r="F9" s="13">
        <v>92</v>
      </c>
      <c r="G9" s="51">
        <v>94.9</v>
      </c>
      <c r="H9" s="13">
        <v>97.5</v>
      </c>
      <c r="I9" s="51">
        <v>99.2</v>
      </c>
      <c r="J9" s="13">
        <v>101</v>
      </c>
      <c r="K9" s="51">
        <v>99.7</v>
      </c>
      <c r="L9" s="13">
        <v>98</v>
      </c>
      <c r="M9" s="51">
        <v>95.3</v>
      </c>
      <c r="N9" s="13">
        <v>92.5</v>
      </c>
      <c r="O9" s="51">
        <v>88.9</v>
      </c>
      <c r="P9" s="13">
        <v>88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s="38" customFormat="1" hidden="1" x14ac:dyDescent="0.25">
      <c r="A10" s="78" t="s">
        <v>50</v>
      </c>
      <c r="B10" s="78"/>
      <c r="C10" s="78"/>
      <c r="D10" s="13">
        <v>92</v>
      </c>
      <c r="E10" s="51">
        <v>92.3</v>
      </c>
      <c r="F10" s="13">
        <v>97</v>
      </c>
      <c r="G10" s="51">
        <v>99.9</v>
      </c>
      <c r="H10" s="13">
        <v>102</v>
      </c>
      <c r="I10" s="51">
        <v>103.1</v>
      </c>
      <c r="J10" s="13">
        <v>103.6</v>
      </c>
      <c r="K10" s="51">
        <v>102.9</v>
      </c>
      <c r="L10" s="13">
        <v>102.2</v>
      </c>
      <c r="M10" s="51">
        <v>98.8</v>
      </c>
      <c r="N10" s="13">
        <v>95</v>
      </c>
      <c r="O10" s="51">
        <v>92.7</v>
      </c>
      <c r="P10" s="13">
        <v>92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 s="38" customFormat="1" hidden="1" x14ac:dyDescent="0.25">
      <c r="A11" s="78" t="str">
        <f>CONCATENATE("Output (dB(A)) @ ",AC8,"(H)")</f>
        <v>Output (dB(A)) @ (H)</v>
      </c>
      <c r="B11" s="78"/>
      <c r="C11" s="78"/>
      <c r="D11" s="13">
        <v>92</v>
      </c>
      <c r="E11" s="51">
        <v>93</v>
      </c>
      <c r="F11" s="13">
        <v>97</v>
      </c>
      <c r="G11" s="51">
        <v>99.7</v>
      </c>
      <c r="H11" s="13">
        <v>101.8</v>
      </c>
      <c r="I11" s="51">
        <v>102.8</v>
      </c>
      <c r="J11" s="13">
        <v>104</v>
      </c>
      <c r="K11" s="51">
        <v>103.3</v>
      </c>
      <c r="L11" s="13">
        <v>102</v>
      </c>
      <c r="M11" s="51">
        <v>100</v>
      </c>
      <c r="N11" s="13">
        <v>97</v>
      </c>
      <c r="O11" s="51">
        <v>92.2</v>
      </c>
      <c r="P11" s="13">
        <v>92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1:27" s="38" customFormat="1" hidden="1" x14ac:dyDescent="0.25">
      <c r="A12" s="78" t="s">
        <v>51</v>
      </c>
      <c r="B12" s="78"/>
      <c r="C12" s="78"/>
      <c r="D12" s="13">
        <v>91</v>
      </c>
      <c r="E12" s="51">
        <v>91.7</v>
      </c>
      <c r="F12" s="13">
        <v>96</v>
      </c>
      <c r="G12" s="51">
        <v>98.9</v>
      </c>
      <c r="H12" s="13">
        <v>100.8</v>
      </c>
      <c r="I12" s="51">
        <v>102.1</v>
      </c>
      <c r="J12" s="13">
        <v>103</v>
      </c>
      <c r="K12" s="51">
        <v>102.1</v>
      </c>
      <c r="L12" s="13">
        <v>100.8</v>
      </c>
      <c r="M12" s="51">
        <v>98.6</v>
      </c>
      <c r="N12" s="13">
        <v>96</v>
      </c>
      <c r="O12" s="51">
        <v>91.2</v>
      </c>
      <c r="P12" s="13">
        <v>91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1:27" x14ac:dyDescent="0.25">
      <c r="A13" s="78" t="str">
        <f>CONCATENATE("Output (dB(A)) @ ",AC9,"(H)")</f>
        <v>Output (dB(A)) @ (H)</v>
      </c>
      <c r="B13" s="78"/>
      <c r="C13" s="78"/>
      <c r="D13" s="13">
        <f>IF($E$4="DIN (D)",D7,(IF($E$4="Slow Whoop (NL)",D8,(IF($E$4="Cont. 825 Hz",D9,(IF($E$4="Interrupted 660 Hz (S)",D10,(IF($E$4="Alternating (UK)",D11,D12)))))))))</f>
        <v>95.5</v>
      </c>
      <c r="E13" s="13">
        <f t="shared" ref="E13:P13" si="1">IF($E$4="DIN (D)",E7,(IF($E$4="Slow Whoop (NL)",E8,(IF($E$4="Cont. 825 Hz",E9,(IF($E$4="Interrupted 660 Hz (S)",E10,(IF($E$4="Alternating (UK)",E11,E12)))))))))</f>
        <v>96</v>
      </c>
      <c r="F13" s="13">
        <f t="shared" si="1"/>
        <v>98</v>
      </c>
      <c r="G13" s="13">
        <f t="shared" si="1"/>
        <v>101</v>
      </c>
      <c r="H13" s="13">
        <f t="shared" si="1"/>
        <v>103.2</v>
      </c>
      <c r="I13" s="13">
        <f t="shared" si="1"/>
        <v>105.3</v>
      </c>
      <c r="J13" s="13">
        <f t="shared" si="1"/>
        <v>105.5</v>
      </c>
      <c r="K13" s="13">
        <f t="shared" si="1"/>
        <v>105.3</v>
      </c>
      <c r="L13" s="13">
        <f t="shared" si="1"/>
        <v>103.2</v>
      </c>
      <c r="M13" s="13">
        <f t="shared" si="1"/>
        <v>101</v>
      </c>
      <c r="N13" s="13">
        <f t="shared" si="1"/>
        <v>98</v>
      </c>
      <c r="O13" s="13">
        <f t="shared" si="1"/>
        <v>96</v>
      </c>
      <c r="P13" s="13">
        <f t="shared" si="1"/>
        <v>95.5</v>
      </c>
      <c r="Q13" s="8">
        <f>$P$13</f>
        <v>95.5</v>
      </c>
      <c r="R13" s="8">
        <f t="shared" ref="R13:AA13" si="2">$P$13</f>
        <v>95.5</v>
      </c>
      <c r="S13" s="8">
        <f t="shared" si="2"/>
        <v>95.5</v>
      </c>
      <c r="T13" s="8">
        <f t="shared" si="2"/>
        <v>95.5</v>
      </c>
      <c r="U13" s="8">
        <f t="shared" si="2"/>
        <v>95.5</v>
      </c>
      <c r="V13" s="8">
        <f t="shared" si="2"/>
        <v>95.5</v>
      </c>
      <c r="W13" s="8">
        <f t="shared" si="2"/>
        <v>95.5</v>
      </c>
      <c r="X13" s="8">
        <f t="shared" si="2"/>
        <v>95.5</v>
      </c>
      <c r="Y13" s="8">
        <f t="shared" si="2"/>
        <v>95.5</v>
      </c>
      <c r="Z13" s="8">
        <f t="shared" si="2"/>
        <v>95.5</v>
      </c>
      <c r="AA13" s="8">
        <f t="shared" si="2"/>
        <v>95.5</v>
      </c>
    </row>
    <row r="14" spans="1:27" x14ac:dyDescent="0.25">
      <c r="A14" s="78" t="s">
        <v>6</v>
      </c>
      <c r="B14" s="78"/>
      <c r="C14" s="78"/>
      <c r="D14" s="14">
        <f>POWER(10,(D13-($M$2))/20)</f>
        <v>3.349654391578277</v>
      </c>
      <c r="E14" s="14">
        <f t="shared" ref="E14:P14" si="3">POWER(10,(E13-($M$2))/20)</f>
        <v>3.5481338923357555</v>
      </c>
      <c r="F14" s="14">
        <f t="shared" si="3"/>
        <v>4.4668359215096318</v>
      </c>
      <c r="G14" s="14">
        <f t="shared" si="3"/>
        <v>6.3095734448019343</v>
      </c>
      <c r="H14" s="14">
        <f t="shared" si="3"/>
        <v>8.1283051616409985</v>
      </c>
      <c r="I14" s="14">
        <f t="shared" si="3"/>
        <v>10.351421666793438</v>
      </c>
      <c r="J14" s="14">
        <f t="shared" si="3"/>
        <v>10.592537251772889</v>
      </c>
      <c r="K14" s="14">
        <f t="shared" si="3"/>
        <v>10.351421666793438</v>
      </c>
      <c r="L14" s="14">
        <f t="shared" si="3"/>
        <v>8.1283051616409985</v>
      </c>
      <c r="M14" s="14">
        <f t="shared" si="3"/>
        <v>6.3095734448019343</v>
      </c>
      <c r="N14" s="14">
        <f t="shared" si="3"/>
        <v>4.4668359215096318</v>
      </c>
      <c r="O14" s="14">
        <f t="shared" si="3"/>
        <v>3.5481338923357555</v>
      </c>
      <c r="P14" s="14">
        <f t="shared" si="3"/>
        <v>3.349654391578277</v>
      </c>
      <c r="Q14" s="9">
        <f>POWER(10,(Q13-($M$2))/20)</f>
        <v>3.349654391578277</v>
      </c>
      <c r="R14" s="9">
        <f t="shared" ref="R14:AA14" si="4">POWER(10,(R13-($M$2))/20)</f>
        <v>3.349654391578277</v>
      </c>
      <c r="S14" s="9">
        <f t="shared" si="4"/>
        <v>3.349654391578277</v>
      </c>
      <c r="T14" s="9">
        <f t="shared" si="4"/>
        <v>3.349654391578277</v>
      </c>
      <c r="U14" s="9">
        <f t="shared" si="4"/>
        <v>3.349654391578277</v>
      </c>
      <c r="V14" s="9">
        <f t="shared" si="4"/>
        <v>3.349654391578277</v>
      </c>
      <c r="W14" s="9">
        <f t="shared" si="4"/>
        <v>3.349654391578277</v>
      </c>
      <c r="X14" s="9">
        <f t="shared" si="4"/>
        <v>3.349654391578277</v>
      </c>
      <c r="Y14" s="9">
        <f t="shared" si="4"/>
        <v>3.349654391578277</v>
      </c>
      <c r="Z14" s="9">
        <f t="shared" si="4"/>
        <v>3.349654391578277</v>
      </c>
      <c r="AA14" s="9">
        <f t="shared" si="4"/>
        <v>3.349654391578277</v>
      </c>
    </row>
    <row r="15" spans="1:27" s="38" customFormat="1" hidden="1" x14ac:dyDescent="0.25">
      <c r="A15" s="38" t="str">
        <f>CONCATENATE("Output (dB(A)) @ ",AC10,"(H)")</f>
        <v>Output (dB(A)) @ (H)</v>
      </c>
      <c r="C15" s="53" t="s">
        <v>52</v>
      </c>
      <c r="D15" s="1"/>
      <c r="E15" s="4">
        <f>COS(RADIANS(E6))*E14</f>
        <v>3.4272341617386628</v>
      </c>
      <c r="F15" s="4">
        <f>COS(RADIANS(F6))*F14</f>
        <v>3.8683933825642143</v>
      </c>
      <c r="G15" s="4">
        <f>COS(RADIANS(G6))*G14</f>
        <v>4.4615421692140123</v>
      </c>
      <c r="H15" s="4">
        <f>COS(RADIANS(H6))*H14</f>
        <v>4.0641525808205001</v>
      </c>
      <c r="I15" s="4">
        <f>COS(RADIANS(I6))*I14</f>
        <v>2.6791450712530214</v>
      </c>
      <c r="J15" s="4"/>
      <c r="K15" s="4">
        <f>-COS(RADIANS(K6))*K14</f>
        <v>2.6791450712530227</v>
      </c>
      <c r="L15" s="4">
        <f>-COS(RADIANS(L6))*L14</f>
        <v>4.0641525808204975</v>
      </c>
      <c r="M15" s="4">
        <f>-COS(RADIANS(M6))*M14</f>
        <v>4.4615421692140123</v>
      </c>
      <c r="N15" s="4">
        <f>-COS(RADIANS(N6))*N14</f>
        <v>3.8683933825642143</v>
      </c>
      <c r="O15" s="4">
        <f>-COS(RADIANS(O6))*O14</f>
        <v>3.4272341617386624</v>
      </c>
      <c r="P15" s="1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s="38" customFormat="1" hidden="1" x14ac:dyDescent="0.25">
      <c r="C16" s="53" t="s">
        <v>53</v>
      </c>
      <c r="D16" s="4"/>
      <c r="E16" s="4"/>
      <c r="F16" s="4"/>
      <c r="G16" s="4"/>
      <c r="H16" s="4">
        <f>SIN(RADIANS(H6))*H14</f>
        <v>7.0393187596932822</v>
      </c>
      <c r="I16" s="4">
        <f>SIN(RADIANS(I6))*I14</f>
        <v>9.9987055267640166</v>
      </c>
      <c r="J16" s="4">
        <f>SIN(RADIANS(J6))*J14</f>
        <v>10.592537251772889</v>
      </c>
      <c r="K16" s="4">
        <f>SIN(RADIANS(K6))*K14</f>
        <v>9.9987055267640166</v>
      </c>
      <c r="L16" s="4">
        <f>SIN(RADIANS(L6))*L14</f>
        <v>7.0393187596932831</v>
      </c>
      <c r="M16" s="4"/>
      <c r="N16" s="4"/>
      <c r="O16" s="4"/>
      <c r="P16" s="4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spans="1:27" s="38" customFormat="1" hidden="1" x14ac:dyDescent="0.25">
      <c r="A17" s="38" t="str">
        <f>CONCATENATE("Output (dB(A)) @ ",AC11,"(H)")</f>
        <v>Output (dB(A)) @ (H)</v>
      </c>
      <c r="C17" s="53" t="s">
        <v>3</v>
      </c>
      <c r="D17" s="4">
        <f>AVERAGE(E15:H15)</f>
        <v>3.9553305735843471</v>
      </c>
      <c r="E17" s="4">
        <f>D17</f>
        <v>3.9553305735843471</v>
      </c>
      <c r="F17" s="4">
        <f t="shared" ref="F17:I17" si="5">E17</f>
        <v>3.9553305735843471</v>
      </c>
      <c r="G17" s="4">
        <f t="shared" si="5"/>
        <v>3.9553305735843471</v>
      </c>
      <c r="H17" s="4">
        <f t="shared" si="5"/>
        <v>3.9553305735843471</v>
      </c>
      <c r="I17" s="4">
        <f t="shared" si="5"/>
        <v>3.9553305735843471</v>
      </c>
      <c r="J17" s="4"/>
      <c r="K17" s="4">
        <f t="shared" ref="K17:N17" si="6">L17</f>
        <v>3.9553305735843467</v>
      </c>
      <c r="L17" s="4">
        <f t="shared" si="6"/>
        <v>3.9553305735843467</v>
      </c>
      <c r="M17" s="4">
        <f t="shared" si="6"/>
        <v>3.9553305735843467</v>
      </c>
      <c r="N17" s="4">
        <f t="shared" si="6"/>
        <v>3.9553305735843467</v>
      </c>
      <c r="O17" s="4">
        <f>P17</f>
        <v>3.9553305735843467</v>
      </c>
      <c r="P17" s="4">
        <f>AVERAGE(L15:O15)</f>
        <v>3.9553305735843467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spans="1:27" s="38" customFormat="1" hidden="1" x14ac:dyDescent="0.25">
      <c r="C18" s="53" t="s">
        <v>4</v>
      </c>
      <c r="D18" s="4"/>
      <c r="E18" s="4"/>
      <c r="F18" s="4"/>
      <c r="G18" s="4">
        <f>H18</f>
        <v>10.196649435100307</v>
      </c>
      <c r="H18" s="4">
        <f>I18</f>
        <v>10.196649435100307</v>
      </c>
      <c r="I18" s="4">
        <f>AVERAGE(I16:K16)</f>
        <v>10.196649435100307</v>
      </c>
      <c r="J18" s="4">
        <f>I18</f>
        <v>10.196649435100307</v>
      </c>
      <c r="K18" s="4">
        <f>J18</f>
        <v>10.196649435100307</v>
      </c>
      <c r="L18" s="4">
        <f>K18</f>
        <v>10.196649435100307</v>
      </c>
      <c r="M18" s="4">
        <f>L18</f>
        <v>10.196649435100307</v>
      </c>
      <c r="N18" s="4"/>
      <c r="O18" s="4"/>
      <c r="P18" s="4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spans="1:27" s="58" customFormat="1" x14ac:dyDescent="0.25">
      <c r="C19" s="59" t="s">
        <v>54</v>
      </c>
      <c r="D19" s="7">
        <f t="shared" ref="D19:I19" si="7">D17/COS(RADIANS(D6))</f>
        <v>3.9553305735843471</v>
      </c>
      <c r="E19" s="7">
        <f t="shared" si="7"/>
        <v>4.0948595284796259</v>
      </c>
      <c r="F19" s="7">
        <f t="shared" si="7"/>
        <v>4.567222342785759</v>
      </c>
      <c r="G19" s="7">
        <f t="shared" si="7"/>
        <v>5.5936821408319366</v>
      </c>
      <c r="H19" s="7">
        <f t="shared" si="7"/>
        <v>7.9106611471686925</v>
      </c>
      <c r="I19" s="7">
        <f t="shared" si="7"/>
        <v>15.282223810143501</v>
      </c>
      <c r="J19" s="7"/>
      <c r="K19" s="7">
        <f>-K17/COS(RADIANS(K6))</f>
        <v>15.282223810143492</v>
      </c>
      <c r="L19" s="7">
        <f>-L17/COS(RADIANS(L6))</f>
        <v>7.9106611471686969</v>
      </c>
      <c r="M19" s="7">
        <f t="shared" ref="M19:P19" si="8">-M17/COS(RADIANS(M6))</f>
        <v>5.5936821408319366</v>
      </c>
      <c r="N19" s="7">
        <f t="shared" si="8"/>
        <v>4.567222342785759</v>
      </c>
      <c r="O19" s="7">
        <f t="shared" si="8"/>
        <v>4.0948595284796259</v>
      </c>
      <c r="P19" s="7">
        <f t="shared" si="8"/>
        <v>3.9553305735843467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1:27" s="58" customFormat="1" x14ac:dyDescent="0.25">
      <c r="C20" s="59" t="s">
        <v>55</v>
      </c>
      <c r="E20" s="7"/>
      <c r="F20" s="7"/>
      <c r="G20" s="7"/>
      <c r="H20" s="7">
        <f t="shared" ref="H20:L20" si="9">H18/SIN(RADIANS(H6))</f>
        <v>11.774076592374817</v>
      </c>
      <c r="I20" s="7">
        <f t="shared" si="9"/>
        <v>10.556348280151276</v>
      </c>
      <c r="J20" s="7">
        <f t="shared" si="9"/>
        <v>10.196649435100307</v>
      </c>
      <c r="K20" s="7">
        <f t="shared" si="9"/>
        <v>10.556348280151276</v>
      </c>
      <c r="L20" s="7">
        <f t="shared" si="9"/>
        <v>11.774076592374815</v>
      </c>
      <c r="M20" s="7"/>
      <c r="N20" s="7"/>
      <c r="O20" s="7"/>
      <c r="P20" s="7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spans="1:27" s="38" customFormat="1" x14ac:dyDescent="0.25">
      <c r="A21" s="85" t="str">
        <f>CONCATENATE(E$3," @",M$2,"dB(A), ",E$4,"-tone")</f>
        <v>PA 5 @85dB(A), DIN (D)-tone</v>
      </c>
      <c r="B21" s="86"/>
      <c r="C21" s="86"/>
      <c r="D21" s="86"/>
      <c r="E21" s="54"/>
      <c r="F21" s="54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39"/>
      <c r="R21" s="39"/>
      <c r="S21" s="8"/>
      <c r="T21" s="8"/>
      <c r="U21" s="8"/>
      <c r="V21" s="8"/>
      <c r="W21" s="8"/>
      <c r="X21" s="8"/>
      <c r="Y21" s="8"/>
      <c r="Z21" s="8"/>
      <c r="AA21" s="8"/>
    </row>
    <row r="22" spans="1:27" s="22" customFormat="1" x14ac:dyDescent="0.25">
      <c r="A22" s="87"/>
      <c r="B22" s="88"/>
      <c r="C22" s="89"/>
      <c r="D22" s="5" t="s">
        <v>8</v>
      </c>
      <c r="E22" s="5" t="s">
        <v>9</v>
      </c>
      <c r="F22" s="5" t="s">
        <v>18</v>
      </c>
      <c r="G22" s="4"/>
      <c r="H22" s="4"/>
      <c r="I22" s="3"/>
      <c r="K22" s="3"/>
      <c r="L22" s="4"/>
      <c r="M22" s="4"/>
      <c r="N22" s="4"/>
      <c r="O22" s="4"/>
      <c r="P22" s="4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spans="1:27" s="22" customFormat="1" ht="30.75" customHeight="1" x14ac:dyDescent="0.25">
      <c r="A23" s="74" t="s">
        <v>17</v>
      </c>
      <c r="B23" s="74"/>
      <c r="C23" s="74"/>
      <c r="D23" s="10">
        <f>D17+P17</f>
        <v>7.9106611471686943</v>
      </c>
      <c r="E23" s="11">
        <f>I18</f>
        <v>10.196649435100307</v>
      </c>
      <c r="F23" s="11">
        <f>D23*E23</f>
        <v>80.662238517547607</v>
      </c>
      <c r="G23" s="6" t="s">
        <v>5</v>
      </c>
      <c r="H23" s="84" t="s">
        <v>56</v>
      </c>
      <c r="I23" s="84"/>
      <c r="J23" s="84"/>
      <c r="K23" s="84"/>
      <c r="L23" s="84"/>
      <c r="M23" s="84"/>
      <c r="N23" s="84"/>
      <c r="O23" s="84"/>
      <c r="P23" s="84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</row>
    <row r="24" spans="1:27" s="22" customFormat="1" ht="30" customHeight="1" x14ac:dyDescent="0.25">
      <c r="A24" s="70" t="s">
        <v>24</v>
      </c>
      <c r="B24" s="71"/>
      <c r="C24" s="72"/>
      <c r="D24" s="23">
        <f>(POWER(10,(3)/20)-1)*D23/2</f>
        <v>1.6317223629977973</v>
      </c>
      <c r="E24" s="23">
        <f>(POWER(10,(3)/20)-1)*E23/2</f>
        <v>2.103250360667638</v>
      </c>
      <c r="G24" s="73" t="s">
        <v>23</v>
      </c>
      <c r="H24" s="73"/>
      <c r="I24" s="73"/>
      <c r="J24" s="73"/>
      <c r="K24" s="73"/>
      <c r="L24" s="73"/>
      <c r="M24" s="73"/>
      <c r="N24" s="73"/>
      <c r="O24" s="73"/>
      <c r="P24" s="73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spans="1:27" s="30" customFormat="1" x14ac:dyDescent="0.25">
      <c r="A25" s="64" t="s">
        <v>39</v>
      </c>
      <c r="B25" s="65"/>
      <c r="C25" s="66"/>
      <c r="D25" s="11">
        <f>D23/2</f>
        <v>3.9553305735843471</v>
      </c>
      <c r="E25" s="6" t="s">
        <v>22</v>
      </c>
      <c r="G25" s="73" t="s">
        <v>25</v>
      </c>
      <c r="H25" s="73"/>
      <c r="I25" s="73"/>
      <c r="J25" s="73"/>
      <c r="K25" s="73"/>
      <c r="L25" s="73"/>
      <c r="M25" s="73"/>
      <c r="N25" s="73"/>
      <c r="O25" s="73"/>
      <c r="P25" s="73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spans="1:27" s="30" customFormat="1" x14ac:dyDescent="0.25">
      <c r="A26" s="67"/>
      <c r="B26" s="68"/>
      <c r="C26" s="69"/>
      <c r="D26" s="11">
        <f>E23</f>
        <v>10.196649435100307</v>
      </c>
      <c r="E26" s="6" t="s">
        <v>38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</sheetData>
  <sheetProtection selectLockedCells="1"/>
  <mergeCells count="22">
    <mergeCell ref="G25:P25"/>
    <mergeCell ref="G24:P24"/>
    <mergeCell ref="A14:C14"/>
    <mergeCell ref="A22:C22"/>
    <mergeCell ref="A23:C23"/>
    <mergeCell ref="A25:C26"/>
    <mergeCell ref="A21:D21"/>
    <mergeCell ref="A2:B2"/>
    <mergeCell ref="A24:C24"/>
    <mergeCell ref="F2:G2"/>
    <mergeCell ref="K2:L2"/>
    <mergeCell ref="D5:K5"/>
    <mergeCell ref="A6:C6"/>
    <mergeCell ref="A13:C13"/>
    <mergeCell ref="E4:F4"/>
    <mergeCell ref="H23:P23"/>
    <mergeCell ref="A7:C7"/>
    <mergeCell ref="A8:C8"/>
    <mergeCell ref="A9:C9"/>
    <mergeCell ref="A10:C10"/>
    <mergeCell ref="A11:C11"/>
    <mergeCell ref="A12:C12"/>
  </mergeCells>
  <dataValidations count="1">
    <dataValidation type="list" allowBlank="1" showInputMessage="1" showErrorMessage="1" sqref="E4:F4" xr:uid="{00000000-0002-0000-0200-000000000000}">
      <formula1>"DIN (D),Slow Whoop (NL), Cont. 825 Hz,Interrupted 660 Hz (S),Alternating (UK),Alernating (F)"</formula1>
    </dataValidation>
  </dataValidations>
  <pageMargins left="0.59055118110236227" right="0.51181102362204722" top="0.74803149606299213" bottom="0.74803149606299213" header="0.31496062992125984" footer="0.31496062992125984"/>
  <pageSetup paperSize="9" scale="73" fitToWidth="0" orientation="landscape" r:id="rId1"/>
  <headerFooter>
    <oddHeader>&amp;L&amp;G&amp;C&amp;"-,Fett"&amp;14Abstrahlcharakteristik / dispersion characteristic
Schallgeber / Sounder
&amp;R&amp;G</oddHeader>
    <oddFooter>&amp;LPfannenberg GmbH</oddFooter>
  </headerFooter>
  <rowBreaks count="1" manualBreakCount="1">
    <brk id="32" max="16383" man="1"/>
  </rowBreaks>
  <colBreaks count="1" manualBreakCount="1">
    <brk id="16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A26"/>
  <sheetViews>
    <sheetView tabSelected="1" zoomScaleNormal="100" workbookViewId="0">
      <selection activeCell="J4" sqref="J4"/>
    </sheetView>
  </sheetViews>
  <sheetFormatPr baseColWidth="10" defaultRowHeight="15" x14ac:dyDescent="0.25"/>
  <cols>
    <col min="1" max="1" width="17.42578125" customWidth="1"/>
    <col min="2" max="2" width="6.85546875" customWidth="1"/>
    <col min="3" max="3" width="7.140625" customWidth="1"/>
    <col min="10" max="10" width="11.42578125" customWidth="1"/>
    <col min="15" max="16" width="11.42578125" customWidth="1"/>
    <col min="17" max="27" width="11.42578125" style="8"/>
  </cols>
  <sheetData>
    <row r="1" spans="1:27" s="38" customFormat="1" x14ac:dyDescent="0.25">
      <c r="A1" s="42" t="s">
        <v>46</v>
      </c>
      <c r="B1" s="43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35.25" customHeight="1" x14ac:dyDescent="0.25">
      <c r="A2" s="77" t="s">
        <v>1</v>
      </c>
      <c r="B2" s="77"/>
      <c r="C2" s="40">
        <v>75</v>
      </c>
      <c r="D2" s="31" t="s">
        <v>12</v>
      </c>
      <c r="E2" s="27" t="str">
        <f>CONCATENATE(M2," dB Schalldruck/
sound presure")</f>
        <v>85 dB Schalldruck/
sound presure</v>
      </c>
      <c r="F2" s="75" t="s">
        <v>11</v>
      </c>
      <c r="G2" s="75"/>
      <c r="H2" s="41">
        <v>10</v>
      </c>
      <c r="I2" s="32" t="s">
        <v>0</v>
      </c>
      <c r="K2" s="76" t="s">
        <v>10</v>
      </c>
      <c r="L2" s="77"/>
      <c r="M2" s="15">
        <f>C2+H2</f>
        <v>85</v>
      </c>
      <c r="N2" s="32" t="s">
        <v>12</v>
      </c>
    </row>
    <row r="3" spans="1:27" s="55" customFormat="1" ht="15.75" x14ac:dyDescent="0.25">
      <c r="D3" s="45" t="s">
        <v>14</v>
      </c>
      <c r="E3" s="46" t="s">
        <v>20</v>
      </c>
      <c r="F3" s="46"/>
      <c r="G3" s="46"/>
      <c r="H3" s="46"/>
      <c r="I3" s="46"/>
      <c r="J3" s="46"/>
      <c r="K3" s="47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</row>
    <row r="4" spans="1:27" s="38" customFormat="1" ht="15.75" x14ac:dyDescent="0.25">
      <c r="D4" s="48" t="s">
        <v>15</v>
      </c>
      <c r="E4" s="83" t="s">
        <v>59</v>
      </c>
      <c r="F4" s="83"/>
      <c r="G4" s="44" t="s">
        <v>42</v>
      </c>
      <c r="H4" s="49" t="str">
        <f>IF(E4="DIN (D)","Tone 2",(IF(E4="Slow Whoop (NL)","Tone 15",(IF(E4="Cont. 825 Hz","Tone 60",(IF(E4="Interrupted 660 Hz (S)","Tone 104",(IF(E4="Alternating (UK)","Tone 131","Tone 146")))))))))</f>
        <v>Tone 2</v>
      </c>
      <c r="I4" s="57" t="str">
        <f>CONCATENATE("Selected tone: ",E4)</f>
        <v>Selected tone: DIN (D)</v>
      </c>
      <c r="J4" s="49"/>
      <c r="K4" s="50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55" customFormat="1" ht="15.75" x14ac:dyDescent="0.25">
      <c r="D5" s="79" t="s">
        <v>2</v>
      </c>
      <c r="E5" s="80"/>
      <c r="F5" s="80"/>
      <c r="G5" s="80"/>
      <c r="H5" s="80"/>
      <c r="I5" s="80"/>
      <c r="J5" s="80"/>
      <c r="K5" s="81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</row>
    <row r="6" spans="1:27" x14ac:dyDescent="0.25">
      <c r="A6" s="78" t="s">
        <v>7</v>
      </c>
      <c r="B6" s="78"/>
      <c r="C6" s="78"/>
      <c r="D6" s="12">
        <v>0</v>
      </c>
      <c r="E6" s="12">
        <v>15</v>
      </c>
      <c r="F6" s="12">
        <v>30</v>
      </c>
      <c r="G6" s="12">
        <v>45</v>
      </c>
      <c r="H6" s="12">
        <v>60</v>
      </c>
      <c r="I6" s="12">
        <v>75</v>
      </c>
      <c r="J6" s="12">
        <v>90</v>
      </c>
      <c r="K6" s="12">
        <v>105</v>
      </c>
      <c r="L6" s="12">
        <v>120</v>
      </c>
      <c r="M6" s="12">
        <v>135</v>
      </c>
      <c r="N6" s="12">
        <v>150</v>
      </c>
      <c r="O6" s="12">
        <v>165</v>
      </c>
      <c r="P6" s="12">
        <v>180</v>
      </c>
      <c r="Q6" s="8">
        <f>P6+15</f>
        <v>195</v>
      </c>
      <c r="R6" s="8">
        <f>Q6+15</f>
        <v>210</v>
      </c>
      <c r="S6" s="8">
        <f t="shared" ref="S6:Z6" si="0">R6+15</f>
        <v>225</v>
      </c>
      <c r="T6" s="8">
        <f t="shared" si="0"/>
        <v>240</v>
      </c>
      <c r="U6" s="8">
        <f t="shared" si="0"/>
        <v>255</v>
      </c>
      <c r="V6" s="8">
        <f t="shared" si="0"/>
        <v>270</v>
      </c>
      <c r="W6" s="8">
        <f t="shared" si="0"/>
        <v>285</v>
      </c>
      <c r="X6" s="8">
        <f t="shared" si="0"/>
        <v>300</v>
      </c>
      <c r="Y6" s="8">
        <f t="shared" si="0"/>
        <v>315</v>
      </c>
      <c r="Z6" s="8">
        <f t="shared" si="0"/>
        <v>330</v>
      </c>
      <c r="AA6" s="8">
        <f>Z6+15</f>
        <v>345</v>
      </c>
    </row>
    <row r="7" spans="1:27" s="38" customFormat="1" hidden="1" x14ac:dyDescent="0.25">
      <c r="A7" s="78" t="s">
        <v>45</v>
      </c>
      <c r="B7" s="78"/>
      <c r="C7" s="78"/>
      <c r="D7" s="13">
        <v>109</v>
      </c>
      <c r="E7" s="51">
        <v>109.5</v>
      </c>
      <c r="F7" s="13">
        <v>110.5</v>
      </c>
      <c r="G7" s="51">
        <v>112</v>
      </c>
      <c r="H7" s="13">
        <v>114.5</v>
      </c>
      <c r="I7" s="51">
        <v>117.5</v>
      </c>
      <c r="J7" s="13">
        <v>117.5</v>
      </c>
      <c r="K7" s="51">
        <v>117.5</v>
      </c>
      <c r="L7" s="13">
        <v>114.5</v>
      </c>
      <c r="M7" s="51">
        <v>112</v>
      </c>
      <c r="N7" s="13">
        <v>110.5</v>
      </c>
      <c r="O7" s="51">
        <v>109.5</v>
      </c>
      <c r="P7" s="13">
        <v>109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s="38" customFormat="1" hidden="1" x14ac:dyDescent="0.25">
      <c r="A8" s="78" t="s">
        <v>44</v>
      </c>
      <c r="B8" s="78"/>
      <c r="C8" s="78"/>
      <c r="D8" s="13">
        <v>109</v>
      </c>
      <c r="E8" s="51">
        <v>109.8</v>
      </c>
      <c r="F8" s="13">
        <v>111.4</v>
      </c>
      <c r="G8" s="51">
        <v>112.3</v>
      </c>
      <c r="H8" s="13">
        <v>115.7</v>
      </c>
      <c r="I8" s="51">
        <v>118.7</v>
      </c>
      <c r="J8" s="13">
        <v>118.8</v>
      </c>
      <c r="K8" s="51">
        <v>118.4</v>
      </c>
      <c r="L8" s="13">
        <v>115.5</v>
      </c>
      <c r="M8" s="51">
        <v>112.7</v>
      </c>
      <c r="N8" s="13">
        <v>111.6</v>
      </c>
      <c r="O8" s="51">
        <v>109.09</v>
      </c>
      <c r="P8" s="13">
        <v>109</v>
      </c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27" s="38" customFormat="1" hidden="1" x14ac:dyDescent="0.25">
      <c r="A9" s="78" t="str">
        <f>CONCATENATE("Output (dB(A)) @ ",AC7,"(H)")</f>
        <v>Output (dB(A)) @ (H)</v>
      </c>
      <c r="B9" s="78"/>
      <c r="C9" s="78"/>
      <c r="D9" s="13">
        <v>109</v>
      </c>
      <c r="E9" s="51">
        <v>109.6</v>
      </c>
      <c r="F9" s="13">
        <v>110</v>
      </c>
      <c r="G9" s="51">
        <v>108.2</v>
      </c>
      <c r="H9" s="13">
        <v>115</v>
      </c>
      <c r="I9" s="51">
        <v>117.3</v>
      </c>
      <c r="J9" s="13">
        <v>117.5</v>
      </c>
      <c r="K9" s="51">
        <v>117.5</v>
      </c>
      <c r="L9" s="13">
        <v>115</v>
      </c>
      <c r="M9" s="51">
        <v>108.8</v>
      </c>
      <c r="N9" s="13">
        <v>110</v>
      </c>
      <c r="O9" s="51">
        <v>109.7</v>
      </c>
      <c r="P9" s="13">
        <v>109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s="38" customFormat="1" hidden="1" x14ac:dyDescent="0.25">
      <c r="A10" s="78" t="s">
        <v>50</v>
      </c>
      <c r="B10" s="78"/>
      <c r="C10" s="78"/>
      <c r="D10" s="13">
        <v>106</v>
      </c>
      <c r="E10" s="51">
        <v>106.5</v>
      </c>
      <c r="F10" s="13">
        <v>107</v>
      </c>
      <c r="G10" s="51">
        <v>103.7</v>
      </c>
      <c r="H10" s="13">
        <v>108</v>
      </c>
      <c r="I10" s="51">
        <v>112.9</v>
      </c>
      <c r="J10" s="13">
        <v>113.4</v>
      </c>
      <c r="K10" s="51">
        <v>113.2</v>
      </c>
      <c r="L10" s="13">
        <v>108</v>
      </c>
      <c r="M10" s="51">
        <v>103.1</v>
      </c>
      <c r="N10" s="13">
        <v>107</v>
      </c>
      <c r="O10" s="51">
        <v>106.6</v>
      </c>
      <c r="P10" s="13">
        <v>106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 s="38" customFormat="1" hidden="1" x14ac:dyDescent="0.25">
      <c r="A11" s="78" t="str">
        <f>CONCATENATE("Output (dB(A)) @ ",AC8,"(H)")</f>
        <v>Output (dB(A)) @ (H)</v>
      </c>
      <c r="B11" s="78"/>
      <c r="C11" s="78"/>
      <c r="D11" s="13">
        <v>108.4</v>
      </c>
      <c r="E11" s="51">
        <v>108.8</v>
      </c>
      <c r="F11" s="13">
        <v>110.2</v>
      </c>
      <c r="G11" s="51">
        <v>111.1</v>
      </c>
      <c r="H11" s="13">
        <v>114</v>
      </c>
      <c r="I11" s="51">
        <v>116.1</v>
      </c>
      <c r="J11" s="13">
        <v>116.4</v>
      </c>
      <c r="K11" s="51">
        <v>116.2</v>
      </c>
      <c r="L11" s="13">
        <v>114</v>
      </c>
      <c r="M11" s="51">
        <v>111.1</v>
      </c>
      <c r="N11" s="13">
        <v>110</v>
      </c>
      <c r="O11" s="51">
        <v>108.5</v>
      </c>
      <c r="P11" s="13">
        <v>108.4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1:27" s="38" customFormat="1" hidden="1" x14ac:dyDescent="0.25">
      <c r="A12" s="78" t="s">
        <v>51</v>
      </c>
      <c r="B12" s="78"/>
      <c r="C12" s="78"/>
      <c r="D12" s="13">
        <v>99.5</v>
      </c>
      <c r="E12" s="51">
        <v>99.6</v>
      </c>
      <c r="F12" s="13">
        <v>103</v>
      </c>
      <c r="G12" s="51">
        <v>104.8</v>
      </c>
      <c r="H12" s="13">
        <v>105.5</v>
      </c>
      <c r="I12" s="51">
        <v>106.1</v>
      </c>
      <c r="J12" s="13">
        <v>106.5</v>
      </c>
      <c r="K12" s="51">
        <v>105.9</v>
      </c>
      <c r="L12" s="13">
        <v>105.3</v>
      </c>
      <c r="M12" s="51">
        <v>104.5</v>
      </c>
      <c r="N12" s="13">
        <v>102.5</v>
      </c>
      <c r="O12" s="51">
        <v>98.6</v>
      </c>
      <c r="P12" s="13">
        <v>98.6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1:27" x14ac:dyDescent="0.25">
      <c r="A13" s="78" t="str">
        <f>CONCATENATE("Output (dB(A)) @ ",AC9,"(H)")</f>
        <v>Output (dB(A)) @ (H)</v>
      </c>
      <c r="B13" s="78"/>
      <c r="C13" s="78"/>
      <c r="D13" s="13">
        <f>IF($E$4="DIN (D)",D7,(IF($E$4="Slow Whoop (NL)",D8,(IF($E$4="Cont. 825 Hz",D9,(IF($E$4="Interrupted 660 Hz (S)",D10,(IF($E$4="Alternating (UK)",D11,D12)))))))))</f>
        <v>109</v>
      </c>
      <c r="E13" s="13">
        <f t="shared" ref="E13:P13" si="1">IF($E$4="DIN (D)",E7,(IF($E$4="Slow Whoop (NL)",E8,(IF($E$4="Cont. 825 Hz",E9,(IF($E$4="Interrupted 660 Hz (S)",E10,(IF($E$4="Alternating (UK)",E11,E12)))))))))</f>
        <v>109.5</v>
      </c>
      <c r="F13" s="13">
        <f t="shared" si="1"/>
        <v>110.5</v>
      </c>
      <c r="G13" s="13">
        <f t="shared" si="1"/>
        <v>112</v>
      </c>
      <c r="H13" s="13">
        <f t="shared" si="1"/>
        <v>114.5</v>
      </c>
      <c r="I13" s="13">
        <f t="shared" si="1"/>
        <v>117.5</v>
      </c>
      <c r="J13" s="13">
        <f t="shared" si="1"/>
        <v>117.5</v>
      </c>
      <c r="K13" s="13">
        <f t="shared" si="1"/>
        <v>117.5</v>
      </c>
      <c r="L13" s="13">
        <f t="shared" si="1"/>
        <v>114.5</v>
      </c>
      <c r="M13" s="13">
        <f t="shared" si="1"/>
        <v>112</v>
      </c>
      <c r="N13" s="13">
        <f t="shared" si="1"/>
        <v>110.5</v>
      </c>
      <c r="O13" s="13">
        <f t="shared" si="1"/>
        <v>109.5</v>
      </c>
      <c r="P13" s="13">
        <f t="shared" si="1"/>
        <v>109</v>
      </c>
      <c r="Q13" s="8">
        <f>$P$13</f>
        <v>109</v>
      </c>
      <c r="R13" s="8">
        <f t="shared" ref="R13:AA13" si="2">$P$13</f>
        <v>109</v>
      </c>
      <c r="S13" s="8">
        <f t="shared" si="2"/>
        <v>109</v>
      </c>
      <c r="T13" s="8">
        <f t="shared" si="2"/>
        <v>109</v>
      </c>
      <c r="U13" s="8">
        <f t="shared" si="2"/>
        <v>109</v>
      </c>
      <c r="V13" s="8">
        <f t="shared" si="2"/>
        <v>109</v>
      </c>
      <c r="W13" s="8">
        <f t="shared" si="2"/>
        <v>109</v>
      </c>
      <c r="X13" s="8">
        <f t="shared" si="2"/>
        <v>109</v>
      </c>
      <c r="Y13" s="8">
        <f t="shared" si="2"/>
        <v>109</v>
      </c>
      <c r="Z13" s="8">
        <f t="shared" si="2"/>
        <v>109</v>
      </c>
      <c r="AA13" s="8">
        <f t="shared" si="2"/>
        <v>109</v>
      </c>
    </row>
    <row r="14" spans="1:27" x14ac:dyDescent="0.25">
      <c r="A14" s="78" t="s">
        <v>6</v>
      </c>
      <c r="B14" s="78"/>
      <c r="C14" s="78"/>
      <c r="D14" s="14">
        <f>POWER(10,(D13-($M$2))/20)</f>
        <v>15.848931924611136</v>
      </c>
      <c r="E14" s="14">
        <f t="shared" ref="E14:P14" si="3">POWER(10,(E13-($M$2))/20)</f>
        <v>16.788040181225607</v>
      </c>
      <c r="F14" s="14">
        <f t="shared" si="3"/>
        <v>18.836490894898009</v>
      </c>
      <c r="G14" s="14">
        <f t="shared" si="3"/>
        <v>22.387211385683404</v>
      </c>
      <c r="H14" s="14">
        <f t="shared" si="3"/>
        <v>29.853826189179614</v>
      </c>
      <c r="I14" s="14">
        <f t="shared" si="3"/>
        <v>42.169650342858247</v>
      </c>
      <c r="J14" s="14">
        <f t="shared" si="3"/>
        <v>42.169650342858247</v>
      </c>
      <c r="K14" s="14">
        <f t="shared" si="3"/>
        <v>42.169650342858247</v>
      </c>
      <c r="L14" s="14">
        <f t="shared" si="3"/>
        <v>29.853826189179614</v>
      </c>
      <c r="M14" s="14">
        <f t="shared" si="3"/>
        <v>22.387211385683404</v>
      </c>
      <c r="N14" s="14">
        <f t="shared" si="3"/>
        <v>18.836490894898009</v>
      </c>
      <c r="O14" s="14">
        <f t="shared" si="3"/>
        <v>16.788040181225607</v>
      </c>
      <c r="P14" s="14">
        <f t="shared" si="3"/>
        <v>15.848931924611136</v>
      </c>
      <c r="Q14" s="9">
        <f>POWER(10,(Q13-($M$2))/20)</f>
        <v>15.848931924611136</v>
      </c>
      <c r="R14" s="9">
        <f t="shared" ref="R14:AA14" si="4">POWER(10,(R13-($M$2))/20)</f>
        <v>15.848931924611136</v>
      </c>
      <c r="S14" s="9">
        <f t="shared" si="4"/>
        <v>15.848931924611136</v>
      </c>
      <c r="T14" s="9">
        <f t="shared" si="4"/>
        <v>15.848931924611136</v>
      </c>
      <c r="U14" s="9">
        <f t="shared" si="4"/>
        <v>15.848931924611136</v>
      </c>
      <c r="V14" s="9">
        <f t="shared" si="4"/>
        <v>15.848931924611136</v>
      </c>
      <c r="W14" s="9">
        <f t="shared" si="4"/>
        <v>15.848931924611136</v>
      </c>
      <c r="X14" s="9">
        <f t="shared" si="4"/>
        <v>15.848931924611136</v>
      </c>
      <c r="Y14" s="9">
        <f t="shared" si="4"/>
        <v>15.848931924611136</v>
      </c>
      <c r="Z14" s="9">
        <f t="shared" si="4"/>
        <v>15.848931924611136</v>
      </c>
      <c r="AA14" s="9">
        <f t="shared" si="4"/>
        <v>15.848931924611136</v>
      </c>
    </row>
    <row r="15" spans="1:27" s="38" customFormat="1" hidden="1" x14ac:dyDescent="0.25">
      <c r="A15" s="38" t="str">
        <f>CONCATENATE("Output (dB(A)) @ ",AC10,"(H)")</f>
        <v>Output (dB(A)) @ (H)</v>
      </c>
      <c r="C15" s="53" t="s">
        <v>52</v>
      </c>
      <c r="D15" s="1"/>
      <c r="E15" s="4">
        <f>COS(RADIANS(E6))*E14</f>
        <v>16.216001583824426</v>
      </c>
      <c r="F15" s="4">
        <f>COS(RADIANS(F6))*F14</f>
        <v>16.312879633135953</v>
      </c>
      <c r="G15" s="4">
        <f>COS(RADIANS(G6))*G14</f>
        <v>15.830148982673421</v>
      </c>
      <c r="H15" s="4">
        <f>COS(RADIANS(H6))*H14</f>
        <v>14.926913094589811</v>
      </c>
      <c r="I15" s="4">
        <f>COS(RADIANS(I6))*I14</f>
        <v>10.914308634045758</v>
      </c>
      <c r="J15" s="4"/>
      <c r="K15" s="4">
        <f>-COS(RADIANS(K6))*K14</f>
        <v>10.914308634045762</v>
      </c>
      <c r="L15" s="4">
        <f>-COS(RADIANS(L6))*L14</f>
        <v>14.9269130945898</v>
      </c>
      <c r="M15" s="4">
        <f>-COS(RADIANS(M6))*M14</f>
        <v>15.830148982673419</v>
      </c>
      <c r="N15" s="4">
        <f>-COS(RADIANS(N6))*N14</f>
        <v>16.312879633135953</v>
      </c>
      <c r="O15" s="4">
        <f>-COS(RADIANS(O6))*O14</f>
        <v>16.216001583824422</v>
      </c>
      <c r="P15" s="1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s="38" customFormat="1" hidden="1" x14ac:dyDescent="0.25">
      <c r="C16" s="53" t="s">
        <v>53</v>
      </c>
      <c r="D16" s="4"/>
      <c r="E16" s="4"/>
      <c r="F16" s="4"/>
      <c r="G16" s="4"/>
      <c r="H16" s="4">
        <f>SIN(RADIANS(H6))*H14</f>
        <v>25.854171879994723</v>
      </c>
      <c r="I16" s="4">
        <f>SIN(RADIANS(I6))*I14</f>
        <v>40.732754351746443</v>
      </c>
      <c r="J16" s="4">
        <f>SIN(RADIANS(J6))*J14</f>
        <v>42.169650342858247</v>
      </c>
      <c r="K16" s="4">
        <f>SIN(RADIANS(K6))*K14</f>
        <v>40.732754351746443</v>
      </c>
      <c r="L16" s="4">
        <f>SIN(RADIANS(L6))*L14</f>
        <v>25.854171879994727</v>
      </c>
      <c r="M16" s="4"/>
      <c r="N16" s="4"/>
      <c r="O16" s="4"/>
      <c r="P16" s="4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spans="1:27" s="38" customFormat="1" hidden="1" x14ac:dyDescent="0.25">
      <c r="A17" s="38" t="str">
        <f>CONCATENATE("Output (dB(A)) @ ",AC11,"(H)")</f>
        <v>Output (dB(A)) @ (H)</v>
      </c>
      <c r="C17" s="53" t="s">
        <v>3</v>
      </c>
      <c r="D17" s="4">
        <f>AVERAGE(E15:I15)</f>
        <v>14.840050385653873</v>
      </c>
      <c r="E17" s="4">
        <f>D17</f>
        <v>14.840050385653873</v>
      </c>
      <c r="F17" s="4">
        <f t="shared" ref="F17:I17" si="5">E17</f>
        <v>14.840050385653873</v>
      </c>
      <c r="G17" s="4">
        <f t="shared" si="5"/>
        <v>14.840050385653873</v>
      </c>
      <c r="H17" s="4">
        <f t="shared" si="5"/>
        <v>14.840050385653873</v>
      </c>
      <c r="I17" s="4">
        <f t="shared" si="5"/>
        <v>14.840050385653873</v>
      </c>
      <c r="J17" s="4"/>
      <c r="K17" s="4">
        <f t="shared" ref="K17:N17" si="6">L17</f>
        <v>14.840050385653871</v>
      </c>
      <c r="L17" s="4">
        <f t="shared" si="6"/>
        <v>14.840050385653871</v>
      </c>
      <c r="M17" s="4">
        <f t="shared" si="6"/>
        <v>14.840050385653871</v>
      </c>
      <c r="N17" s="4">
        <f t="shared" si="6"/>
        <v>14.840050385653871</v>
      </c>
      <c r="O17" s="4">
        <f>P17</f>
        <v>14.840050385653871</v>
      </c>
      <c r="P17" s="4">
        <f>AVERAGE(K15:O15)</f>
        <v>14.840050385653871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spans="1:27" s="38" customFormat="1" hidden="1" x14ac:dyDescent="0.25">
      <c r="C18" s="53" t="s">
        <v>4</v>
      </c>
      <c r="D18" s="4"/>
      <c r="E18" s="4"/>
      <c r="F18" s="4"/>
      <c r="G18" s="4">
        <f>H18</f>
        <v>41.211719682117042</v>
      </c>
      <c r="H18" s="4">
        <f>I18</f>
        <v>41.211719682117042</v>
      </c>
      <c r="I18" s="4">
        <f>AVERAGE(I16:K16)</f>
        <v>41.211719682117042</v>
      </c>
      <c r="J18" s="4">
        <f>I18</f>
        <v>41.211719682117042</v>
      </c>
      <c r="K18" s="4">
        <f>J18</f>
        <v>41.211719682117042</v>
      </c>
      <c r="L18" s="4">
        <f>K18</f>
        <v>41.211719682117042</v>
      </c>
      <c r="M18" s="4">
        <f>L18</f>
        <v>41.211719682117042</v>
      </c>
      <c r="N18" s="4"/>
      <c r="O18" s="4"/>
      <c r="P18" s="4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spans="1:27" s="58" customFormat="1" x14ac:dyDescent="0.25">
      <c r="C19" s="59" t="s">
        <v>54</v>
      </c>
      <c r="D19" s="7">
        <f t="shared" ref="D19:I19" si="7">D17/COS(RADIANS(D6))</f>
        <v>14.840050385653873</v>
      </c>
      <c r="E19" s="7">
        <f t="shared" si="7"/>
        <v>15.363550680352921</v>
      </c>
      <c r="F19" s="7">
        <f t="shared" si="7"/>
        <v>17.135814169889745</v>
      </c>
      <c r="G19" s="7">
        <f t="shared" si="7"/>
        <v>20.987000521691787</v>
      </c>
      <c r="H19" s="7">
        <f t="shared" si="7"/>
        <v>29.680100771307739</v>
      </c>
      <c r="I19" s="7">
        <f t="shared" si="7"/>
        <v>57.337551723736503</v>
      </c>
      <c r="J19" s="7"/>
      <c r="K19" s="7">
        <f>-K17/COS(RADIANS(K6))</f>
        <v>57.337551723736468</v>
      </c>
      <c r="L19" s="7">
        <f>-L17/COS(RADIANS(L6))</f>
        <v>29.680100771307757</v>
      </c>
      <c r="M19" s="7">
        <f t="shared" ref="M19:P19" si="8">-M17/COS(RADIANS(M6))</f>
        <v>20.987000521691787</v>
      </c>
      <c r="N19" s="7">
        <f t="shared" si="8"/>
        <v>17.135814169889745</v>
      </c>
      <c r="O19" s="7">
        <f t="shared" si="8"/>
        <v>15.363550680352921</v>
      </c>
      <c r="P19" s="7">
        <f t="shared" si="8"/>
        <v>14.840050385653871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1:27" s="58" customFormat="1" x14ac:dyDescent="0.25">
      <c r="C20" s="59" t="s">
        <v>55</v>
      </c>
      <c r="E20" s="7"/>
      <c r="F20" s="7"/>
      <c r="G20" s="7"/>
      <c r="H20" s="7">
        <f t="shared" ref="H20:L20" si="9">H18/SIN(RADIANS(H6))</f>
        <v>47.587194904475346</v>
      </c>
      <c r="I20" s="7">
        <f t="shared" si="9"/>
        <v>42.665511740633171</v>
      </c>
      <c r="J20" s="7">
        <f t="shared" si="9"/>
        <v>41.211719682117042</v>
      </c>
      <c r="K20" s="7">
        <f t="shared" si="9"/>
        <v>42.665511740633171</v>
      </c>
      <c r="L20" s="7">
        <f t="shared" si="9"/>
        <v>47.587194904475339</v>
      </c>
      <c r="M20" s="7"/>
      <c r="N20" s="7"/>
      <c r="O20" s="7"/>
      <c r="P20" s="7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spans="1:27" s="38" customFormat="1" x14ac:dyDescent="0.25">
      <c r="A21" s="85" t="str">
        <f>CONCATENATE(E$3," @",M$2,"dB(A), ",E$4,"-tone")</f>
        <v>PA 10 @85dB(A), DIN (D)-tone</v>
      </c>
      <c r="B21" s="86"/>
      <c r="C21" s="86"/>
      <c r="D21" s="86"/>
      <c r="E21" s="54"/>
      <c r="F21" s="54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39"/>
      <c r="R21" s="39"/>
      <c r="S21" s="8"/>
      <c r="T21" s="8"/>
      <c r="U21" s="8"/>
      <c r="V21" s="8"/>
      <c r="W21" s="8"/>
      <c r="X21" s="8"/>
      <c r="Y21" s="8"/>
      <c r="Z21" s="8"/>
      <c r="AA21" s="8"/>
    </row>
    <row r="22" spans="1:27" x14ac:dyDescent="0.25">
      <c r="A22" s="87"/>
      <c r="B22" s="88"/>
      <c r="C22" s="89"/>
      <c r="D22" s="5" t="s">
        <v>8</v>
      </c>
      <c r="E22" s="5" t="s">
        <v>9</v>
      </c>
      <c r="F22" s="5" t="s">
        <v>18</v>
      </c>
      <c r="G22" s="4"/>
      <c r="H22" s="4"/>
      <c r="L22" s="4"/>
      <c r="M22" s="4"/>
      <c r="N22" s="4"/>
      <c r="O22" s="4"/>
      <c r="P22" s="4"/>
    </row>
    <row r="23" spans="1:27" ht="30.75" customHeight="1" x14ac:dyDescent="0.25">
      <c r="A23" s="74" t="s">
        <v>17</v>
      </c>
      <c r="B23" s="74"/>
      <c r="C23" s="74"/>
      <c r="D23" s="10">
        <f>D17+P17</f>
        <v>29.680100771307742</v>
      </c>
      <c r="E23" s="11">
        <f>I18</f>
        <v>41.211719682117042</v>
      </c>
      <c r="F23" s="11">
        <f>D23*E23</f>
        <v>1223.1679931241206</v>
      </c>
      <c r="G23" s="6" t="s">
        <v>5</v>
      </c>
      <c r="H23" s="84" t="s">
        <v>56</v>
      </c>
      <c r="I23" s="84"/>
      <c r="J23" s="84"/>
      <c r="K23" s="84"/>
      <c r="L23" s="84"/>
      <c r="M23" s="84"/>
      <c r="N23" s="84"/>
      <c r="O23" s="84"/>
      <c r="P23" s="84"/>
    </row>
    <row r="24" spans="1:27" s="22" customFormat="1" ht="30" customHeight="1" x14ac:dyDescent="0.25">
      <c r="A24" s="70" t="s">
        <v>24</v>
      </c>
      <c r="B24" s="71"/>
      <c r="C24" s="72"/>
      <c r="D24" s="23">
        <f>(POWER(10,(3)/20)-1)*D23/2</f>
        <v>6.1220779481756074</v>
      </c>
      <c r="E24" s="23">
        <f>(POWER(10,(3)/20)-1)*E23/2</f>
        <v>8.5006908236709027</v>
      </c>
      <c r="G24" s="73" t="s">
        <v>23</v>
      </c>
      <c r="H24" s="73"/>
      <c r="I24" s="73"/>
      <c r="J24" s="73"/>
      <c r="K24" s="73"/>
      <c r="L24" s="73"/>
      <c r="M24" s="73"/>
      <c r="N24" s="73"/>
      <c r="O24" s="73"/>
      <c r="P24" s="73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spans="1:27" s="30" customFormat="1" x14ac:dyDescent="0.25">
      <c r="A25" s="64" t="s">
        <v>39</v>
      </c>
      <c r="B25" s="65"/>
      <c r="C25" s="66"/>
      <c r="D25" s="11">
        <f>D23/2</f>
        <v>14.840050385653871</v>
      </c>
      <c r="E25" s="6" t="s">
        <v>22</v>
      </c>
      <c r="G25" s="73" t="s">
        <v>25</v>
      </c>
      <c r="H25" s="73"/>
      <c r="I25" s="73"/>
      <c r="J25" s="73"/>
      <c r="K25" s="73"/>
      <c r="L25" s="73"/>
      <c r="M25" s="73"/>
      <c r="N25" s="73"/>
      <c r="O25" s="73"/>
      <c r="P25" s="73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spans="1:27" s="30" customFormat="1" x14ac:dyDescent="0.25">
      <c r="A26" s="67"/>
      <c r="B26" s="68"/>
      <c r="C26" s="69"/>
      <c r="D26" s="11">
        <f>E23</f>
        <v>41.211719682117042</v>
      </c>
      <c r="E26" s="6" t="s">
        <v>38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</sheetData>
  <sheetProtection selectLockedCells="1"/>
  <mergeCells count="22">
    <mergeCell ref="A25:C26"/>
    <mergeCell ref="G25:P25"/>
    <mergeCell ref="A2:B2"/>
    <mergeCell ref="A24:C24"/>
    <mergeCell ref="F2:G2"/>
    <mergeCell ref="K2:L2"/>
    <mergeCell ref="D5:K5"/>
    <mergeCell ref="A6:C6"/>
    <mergeCell ref="A13:C13"/>
    <mergeCell ref="G24:P24"/>
    <mergeCell ref="A14:C14"/>
    <mergeCell ref="A22:C22"/>
    <mergeCell ref="A23:C23"/>
    <mergeCell ref="E4:F4"/>
    <mergeCell ref="H23:P23"/>
    <mergeCell ref="A12:C12"/>
    <mergeCell ref="A21:D21"/>
    <mergeCell ref="A7:C7"/>
    <mergeCell ref="A8:C8"/>
    <mergeCell ref="A9:C9"/>
    <mergeCell ref="A10:C10"/>
    <mergeCell ref="A11:C11"/>
  </mergeCells>
  <dataValidations count="1">
    <dataValidation type="list" allowBlank="1" showInputMessage="1" showErrorMessage="1" sqref="E4:F4" xr:uid="{00000000-0002-0000-0300-000000000000}">
      <formula1>"DIN (D),Slow Whoop (NL), Cont. 825 Hz,Interrupted 660 Hz (S),Alternating (UK),Alernating (F)"</formula1>
    </dataValidation>
  </dataValidations>
  <pageMargins left="0.59055118110236227" right="0.51181102362204722" top="0.74803149606299213" bottom="0.74803149606299213" header="0.31496062992125984" footer="0.31496062992125984"/>
  <pageSetup paperSize="9" scale="77" fitToWidth="0" orientation="landscape" r:id="rId1"/>
  <headerFooter>
    <oddHeader>&amp;L&amp;G&amp;C&amp;"-,Fett"&amp;14Abstrahlcharakteristik / dispersion characteristic
Schallgeber / Sounder
&amp;R&amp;G</oddHeader>
    <oddFooter>&amp;LPfannenberg GmbH</oddFooter>
  </headerFooter>
  <rowBreaks count="1" manualBreakCount="1">
    <brk id="32" max="16383" man="1"/>
  </rowBreaks>
  <colBreaks count="1" manualBreakCount="1">
    <brk id="16" max="1048575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AA26"/>
  <sheetViews>
    <sheetView tabSelected="1" zoomScaleNormal="100" workbookViewId="0">
      <selection activeCell="J4" sqref="J4"/>
    </sheetView>
  </sheetViews>
  <sheetFormatPr baseColWidth="10" defaultRowHeight="15" x14ac:dyDescent="0.25"/>
  <cols>
    <col min="1" max="1" width="17.42578125" customWidth="1"/>
    <col min="2" max="2" width="6.85546875" customWidth="1"/>
    <col min="3" max="3" width="7.140625" customWidth="1"/>
    <col min="10" max="10" width="11.42578125" customWidth="1"/>
    <col min="15" max="16" width="11.42578125" customWidth="1"/>
    <col min="17" max="27" width="11.42578125" style="8"/>
  </cols>
  <sheetData>
    <row r="1" spans="1:27" s="38" customFormat="1" x14ac:dyDescent="0.25">
      <c r="A1" s="42" t="s">
        <v>46</v>
      </c>
      <c r="B1" s="43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35.25" customHeight="1" x14ac:dyDescent="0.25">
      <c r="A2" s="77" t="s">
        <v>1</v>
      </c>
      <c r="B2" s="77"/>
      <c r="C2" s="40">
        <v>75</v>
      </c>
      <c r="D2" s="31" t="s">
        <v>12</v>
      </c>
      <c r="E2" s="27" t="str">
        <f>CONCATENATE(M2," dB Schalldruck/
sound presure")</f>
        <v>85 dB Schalldruck/
sound presure</v>
      </c>
      <c r="F2" s="75" t="s">
        <v>11</v>
      </c>
      <c r="G2" s="75"/>
      <c r="H2" s="41">
        <v>10</v>
      </c>
      <c r="I2" s="32" t="s">
        <v>0</v>
      </c>
      <c r="K2" s="76" t="s">
        <v>10</v>
      </c>
      <c r="L2" s="77"/>
      <c r="M2" s="15">
        <f>C2+H2</f>
        <v>85</v>
      </c>
      <c r="N2" s="32" t="s">
        <v>12</v>
      </c>
    </row>
    <row r="3" spans="1:27" s="55" customFormat="1" ht="15.75" x14ac:dyDescent="0.25">
      <c r="D3" s="45" t="s">
        <v>14</v>
      </c>
      <c r="E3" s="46" t="s">
        <v>21</v>
      </c>
      <c r="F3" s="46"/>
      <c r="G3" s="46"/>
      <c r="H3" s="46"/>
      <c r="I3" s="46"/>
      <c r="J3" s="46"/>
      <c r="K3" s="47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</row>
    <row r="4" spans="1:27" s="38" customFormat="1" ht="15.75" x14ac:dyDescent="0.25">
      <c r="D4" s="48" t="s">
        <v>15</v>
      </c>
      <c r="E4" s="83" t="s">
        <v>59</v>
      </c>
      <c r="F4" s="83"/>
      <c r="G4" s="44" t="s">
        <v>42</v>
      </c>
      <c r="H4" s="49" t="str">
        <f>IF(E4="DIN (D)","Tone 1",(IF(E4="Slow Whoop (NL)","Tone 22 (not EN54-3 cert.)",(IF(E4="Cont. 950 Hz","Tone 4",(IF(E4="Interrupted 660 Hz (S)","Tone 8 (not EN54-23 cert.)",(IF(E4="Alternating (UK)","Tone 3","Tone 7 (not EN54-3 cert.)")))))))))</f>
        <v>Tone 1</v>
      </c>
      <c r="K4" s="57" t="str">
        <f>CONCATENATE("Selected tone: ",E4)</f>
        <v>Selected tone: DIN (D)</v>
      </c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55" customFormat="1" ht="15.75" x14ac:dyDescent="0.25">
      <c r="D5" s="79" t="s">
        <v>2</v>
      </c>
      <c r="E5" s="80"/>
      <c r="F5" s="80"/>
      <c r="G5" s="80"/>
      <c r="H5" s="80"/>
      <c r="I5" s="80"/>
      <c r="J5" s="80"/>
      <c r="K5" s="81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</row>
    <row r="6" spans="1:27" x14ac:dyDescent="0.25">
      <c r="A6" s="78" t="s">
        <v>7</v>
      </c>
      <c r="B6" s="78"/>
      <c r="C6" s="78"/>
      <c r="D6" s="12">
        <v>0</v>
      </c>
      <c r="E6" s="12">
        <v>15</v>
      </c>
      <c r="F6" s="12">
        <v>30</v>
      </c>
      <c r="G6" s="12">
        <v>45</v>
      </c>
      <c r="H6" s="12">
        <v>60</v>
      </c>
      <c r="I6" s="12">
        <v>75</v>
      </c>
      <c r="J6" s="12">
        <v>90</v>
      </c>
      <c r="K6" s="12">
        <v>105</v>
      </c>
      <c r="L6" s="12">
        <v>120</v>
      </c>
      <c r="M6" s="12">
        <v>135</v>
      </c>
      <c r="N6" s="12">
        <v>150</v>
      </c>
      <c r="O6" s="12">
        <v>165</v>
      </c>
      <c r="P6" s="12">
        <v>180</v>
      </c>
      <c r="Q6" s="8">
        <f>P6+15</f>
        <v>195</v>
      </c>
      <c r="R6" s="8">
        <f>Q6+15</f>
        <v>210</v>
      </c>
      <c r="S6" s="8">
        <f t="shared" ref="S6:Z6" si="0">R6+15</f>
        <v>225</v>
      </c>
      <c r="T6" s="8">
        <f t="shared" si="0"/>
        <v>240</v>
      </c>
      <c r="U6" s="8">
        <f t="shared" si="0"/>
        <v>255</v>
      </c>
      <c r="V6" s="8">
        <f t="shared" si="0"/>
        <v>270</v>
      </c>
      <c r="W6" s="8">
        <f t="shared" si="0"/>
        <v>285</v>
      </c>
      <c r="X6" s="8">
        <f t="shared" si="0"/>
        <v>300</v>
      </c>
      <c r="Y6" s="8">
        <f t="shared" si="0"/>
        <v>315</v>
      </c>
      <c r="Z6" s="8">
        <f t="shared" si="0"/>
        <v>330</v>
      </c>
      <c r="AA6" s="8">
        <f>Z6+15</f>
        <v>345</v>
      </c>
    </row>
    <row r="7" spans="1:27" s="38" customFormat="1" hidden="1" x14ac:dyDescent="0.25">
      <c r="A7" s="78" t="s">
        <v>45</v>
      </c>
      <c r="B7" s="78"/>
      <c r="C7" s="78"/>
      <c r="D7" s="13">
        <v>106</v>
      </c>
      <c r="E7" s="51">
        <v>107</v>
      </c>
      <c r="F7" s="13">
        <v>107</v>
      </c>
      <c r="G7" s="51">
        <v>107.5</v>
      </c>
      <c r="H7" s="13">
        <v>110</v>
      </c>
      <c r="I7" s="51">
        <v>113</v>
      </c>
      <c r="J7" s="13">
        <v>113</v>
      </c>
      <c r="K7" s="51">
        <v>113</v>
      </c>
      <c r="L7" s="13">
        <v>110</v>
      </c>
      <c r="M7" s="51">
        <v>107</v>
      </c>
      <c r="N7" s="13">
        <v>106.5</v>
      </c>
      <c r="O7" s="51">
        <v>106.5</v>
      </c>
      <c r="P7" s="13">
        <v>106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s="38" customFormat="1" hidden="1" x14ac:dyDescent="0.25">
      <c r="A8" s="78" t="s">
        <v>44</v>
      </c>
      <c r="B8" s="78"/>
      <c r="C8" s="78"/>
      <c r="D8" s="13"/>
      <c r="E8" s="51"/>
      <c r="F8" s="13"/>
      <c r="G8" s="51"/>
      <c r="H8" s="13"/>
      <c r="I8" s="51"/>
      <c r="J8" s="13"/>
      <c r="K8" s="51"/>
      <c r="L8" s="13"/>
      <c r="M8" s="51"/>
      <c r="N8" s="13"/>
      <c r="O8" s="51"/>
      <c r="P8" s="13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27" s="38" customFormat="1" hidden="1" x14ac:dyDescent="0.25">
      <c r="A9" s="78" t="str">
        <f>CONCATENATE("Output (dB(A)) @ ",AC7,"(H)")</f>
        <v>Output (dB(A)) @ (H)</v>
      </c>
      <c r="B9" s="78"/>
      <c r="C9" s="78"/>
      <c r="D9" s="13">
        <v>101</v>
      </c>
      <c r="E9" s="51">
        <v>101.4</v>
      </c>
      <c r="F9" s="13">
        <v>100</v>
      </c>
      <c r="G9" s="51">
        <v>101.5</v>
      </c>
      <c r="H9" s="13">
        <v>108</v>
      </c>
      <c r="I9" s="51">
        <v>113</v>
      </c>
      <c r="J9" s="13">
        <v>113</v>
      </c>
      <c r="K9" s="51">
        <v>111.5</v>
      </c>
      <c r="L9" s="13">
        <v>107</v>
      </c>
      <c r="M9" s="51">
        <v>103</v>
      </c>
      <c r="N9" s="13">
        <v>103.2</v>
      </c>
      <c r="O9" s="51">
        <v>103</v>
      </c>
      <c r="P9" s="13">
        <v>101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s="38" customFormat="1" hidden="1" x14ac:dyDescent="0.25">
      <c r="A10" s="78" t="s">
        <v>50</v>
      </c>
      <c r="B10" s="78"/>
      <c r="C10" s="78"/>
      <c r="D10" s="13"/>
      <c r="E10" s="51"/>
      <c r="F10" s="13"/>
      <c r="G10" s="51"/>
      <c r="H10" s="13"/>
      <c r="I10" s="51"/>
      <c r="J10" s="13"/>
      <c r="K10" s="51"/>
      <c r="L10" s="13"/>
      <c r="M10" s="51"/>
      <c r="N10" s="13"/>
      <c r="O10" s="51"/>
      <c r="P10" s="13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 s="38" customFormat="1" hidden="1" x14ac:dyDescent="0.25">
      <c r="A11" s="78" t="str">
        <f>CONCATENATE("Output (dB(A)) @ ",AC8,"(H)")</f>
        <v>Output (dB(A)) @ (H)</v>
      </c>
      <c r="B11" s="78"/>
      <c r="C11" s="78"/>
      <c r="D11" s="13">
        <v>107.5</v>
      </c>
      <c r="E11" s="51">
        <v>109.7</v>
      </c>
      <c r="F11" s="13">
        <v>107.5</v>
      </c>
      <c r="G11" s="51">
        <v>105.1</v>
      </c>
      <c r="H11" s="13">
        <v>109</v>
      </c>
      <c r="I11" s="51">
        <v>114.1</v>
      </c>
      <c r="J11" s="13">
        <v>114.3</v>
      </c>
      <c r="K11" s="51">
        <v>113.9</v>
      </c>
      <c r="L11" s="13">
        <v>109</v>
      </c>
      <c r="M11" s="51">
        <v>103.8</v>
      </c>
      <c r="N11" s="13">
        <v>106</v>
      </c>
      <c r="O11" s="51">
        <v>107.7</v>
      </c>
      <c r="P11" s="13">
        <v>107.5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1:27" s="38" customFormat="1" hidden="1" x14ac:dyDescent="0.25">
      <c r="A12" s="78" t="s">
        <v>51</v>
      </c>
      <c r="B12" s="78"/>
      <c r="C12" s="78"/>
      <c r="D12" s="13"/>
      <c r="E12" s="51"/>
      <c r="F12" s="13"/>
      <c r="G12" s="51"/>
      <c r="H12" s="13"/>
      <c r="I12" s="51"/>
      <c r="J12" s="13"/>
      <c r="K12" s="51"/>
      <c r="L12" s="13"/>
      <c r="M12" s="51"/>
      <c r="N12" s="13"/>
      <c r="O12" s="51"/>
      <c r="P12" s="13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1:27" x14ac:dyDescent="0.25">
      <c r="A13" s="78" t="str">
        <f>CONCATENATE("Output (dB(A)) @ ",AC9,"(H)")</f>
        <v>Output (dB(A)) @ (H)</v>
      </c>
      <c r="B13" s="78"/>
      <c r="C13" s="78"/>
      <c r="D13" s="13">
        <f>IF($E$4="DIN (D)",D7,(IF($E$4="Slow Whoop (NL)",D8,(IF($E$4="Cont. 950 Hz",D9,(IF($E$4="Interrupted 660 Hz (S)",D10,(IF($E$4="Alternating (UK)",D11,D12)))))))))</f>
        <v>106</v>
      </c>
      <c r="E13" s="13">
        <f t="shared" ref="E13:P13" si="1">IF($E$4="DIN (D)",E7,(IF($E$4="Slow Whoop (NL)",E8,(IF($E$4="Cont. 950 Hz",E9,(IF($E$4="Interrupted 660 Hz (S)",E10,(IF($E$4="Alternating (UK)",E11,E12)))))))))</f>
        <v>107</v>
      </c>
      <c r="F13" s="13">
        <f t="shared" si="1"/>
        <v>107</v>
      </c>
      <c r="G13" s="13">
        <f t="shared" si="1"/>
        <v>107.5</v>
      </c>
      <c r="H13" s="13">
        <f t="shared" si="1"/>
        <v>110</v>
      </c>
      <c r="I13" s="13">
        <f t="shared" si="1"/>
        <v>113</v>
      </c>
      <c r="J13" s="13">
        <f t="shared" si="1"/>
        <v>113</v>
      </c>
      <c r="K13" s="13">
        <f t="shared" si="1"/>
        <v>113</v>
      </c>
      <c r="L13" s="13">
        <f t="shared" si="1"/>
        <v>110</v>
      </c>
      <c r="M13" s="13">
        <f t="shared" si="1"/>
        <v>107</v>
      </c>
      <c r="N13" s="13">
        <f t="shared" si="1"/>
        <v>106.5</v>
      </c>
      <c r="O13" s="13">
        <f t="shared" si="1"/>
        <v>106.5</v>
      </c>
      <c r="P13" s="13">
        <f t="shared" si="1"/>
        <v>106</v>
      </c>
      <c r="Q13" s="8">
        <f>$P$13</f>
        <v>106</v>
      </c>
      <c r="R13" s="8">
        <f t="shared" ref="R13:AA13" si="2">$P$13</f>
        <v>106</v>
      </c>
      <c r="S13" s="8">
        <f t="shared" si="2"/>
        <v>106</v>
      </c>
      <c r="T13" s="8">
        <f t="shared" si="2"/>
        <v>106</v>
      </c>
      <c r="U13" s="8">
        <f t="shared" si="2"/>
        <v>106</v>
      </c>
      <c r="V13" s="8">
        <f t="shared" si="2"/>
        <v>106</v>
      </c>
      <c r="W13" s="8">
        <f t="shared" si="2"/>
        <v>106</v>
      </c>
      <c r="X13" s="8">
        <f t="shared" si="2"/>
        <v>106</v>
      </c>
      <c r="Y13" s="8">
        <f t="shared" si="2"/>
        <v>106</v>
      </c>
      <c r="Z13" s="8">
        <f t="shared" si="2"/>
        <v>106</v>
      </c>
      <c r="AA13" s="8">
        <f t="shared" si="2"/>
        <v>106</v>
      </c>
    </row>
    <row r="14" spans="1:27" x14ac:dyDescent="0.25">
      <c r="A14" s="78" t="s">
        <v>6</v>
      </c>
      <c r="B14" s="78"/>
      <c r="C14" s="78"/>
      <c r="D14" s="14">
        <f>POWER(10,(D13-($M$2))/20)</f>
        <v>11.220184543019636</v>
      </c>
      <c r="E14" s="14">
        <f t="shared" ref="E14:P14" si="3">POWER(10,(E13-($M$2))/20)</f>
        <v>12.58925411794168</v>
      </c>
      <c r="F14" s="14">
        <f t="shared" si="3"/>
        <v>12.58925411794168</v>
      </c>
      <c r="G14" s="14">
        <f t="shared" si="3"/>
        <v>13.335214321633245</v>
      </c>
      <c r="H14" s="14">
        <f t="shared" si="3"/>
        <v>17.782794100389236</v>
      </c>
      <c r="I14" s="14">
        <f t="shared" si="3"/>
        <v>25.118864315095799</v>
      </c>
      <c r="J14" s="14">
        <f t="shared" si="3"/>
        <v>25.118864315095799</v>
      </c>
      <c r="K14" s="14">
        <f t="shared" si="3"/>
        <v>25.118864315095799</v>
      </c>
      <c r="L14" s="14">
        <f t="shared" si="3"/>
        <v>17.782794100389236</v>
      </c>
      <c r="M14" s="14">
        <f t="shared" si="3"/>
        <v>12.58925411794168</v>
      </c>
      <c r="N14" s="14">
        <f t="shared" si="3"/>
        <v>11.885022274370185</v>
      </c>
      <c r="O14" s="14">
        <f t="shared" si="3"/>
        <v>11.885022274370185</v>
      </c>
      <c r="P14" s="14">
        <f t="shared" si="3"/>
        <v>11.220184543019636</v>
      </c>
      <c r="Q14" s="9">
        <f>POWER(10,(Q13-($M$2))/20)</f>
        <v>11.220184543019636</v>
      </c>
      <c r="R14" s="9">
        <f t="shared" ref="R14:AA14" si="4">POWER(10,(R13-($M$2))/20)</f>
        <v>11.220184543019636</v>
      </c>
      <c r="S14" s="9">
        <f t="shared" si="4"/>
        <v>11.220184543019636</v>
      </c>
      <c r="T14" s="9">
        <f t="shared" si="4"/>
        <v>11.220184543019636</v>
      </c>
      <c r="U14" s="9">
        <f t="shared" si="4"/>
        <v>11.220184543019636</v>
      </c>
      <c r="V14" s="9">
        <f t="shared" si="4"/>
        <v>11.220184543019636</v>
      </c>
      <c r="W14" s="9">
        <f t="shared" si="4"/>
        <v>11.220184543019636</v>
      </c>
      <c r="X14" s="9">
        <f t="shared" si="4"/>
        <v>11.220184543019636</v>
      </c>
      <c r="Y14" s="9">
        <f t="shared" si="4"/>
        <v>11.220184543019636</v>
      </c>
      <c r="Z14" s="9">
        <f t="shared" si="4"/>
        <v>11.220184543019636</v>
      </c>
      <c r="AA14" s="9">
        <f t="shared" si="4"/>
        <v>11.220184543019636</v>
      </c>
    </row>
    <row r="15" spans="1:27" s="38" customFormat="1" hidden="1" x14ac:dyDescent="0.25">
      <c r="A15" s="38" t="str">
        <f>CONCATENATE("Output (dB(A)) @ ",AC10,"(H)")</f>
        <v>Output (dB(A)) @ (H)</v>
      </c>
      <c r="C15" s="53" t="s">
        <v>52</v>
      </c>
      <c r="D15" s="1"/>
      <c r="E15" s="4">
        <f>COS(RADIANS(E6))*E14</f>
        <v>12.160285686235873</v>
      </c>
      <c r="F15" s="4">
        <f>COS(RADIANS(F6))*F14</f>
        <v>10.902613880835352</v>
      </c>
      <c r="G15" s="4">
        <f>COS(RADIANS(G6))*G14</f>
        <v>9.4294204754028339</v>
      </c>
      <c r="H15" s="4">
        <f>COS(RADIANS(H6))*H14</f>
        <v>8.8913970501946196</v>
      </c>
      <c r="I15" s="4">
        <f>COS(RADIANS(I6))*I14</f>
        <v>6.5012404760928781</v>
      </c>
      <c r="J15" s="4"/>
      <c r="K15" s="4">
        <f>-COS(RADIANS(K6))*K14</f>
        <v>6.5012404760928808</v>
      </c>
      <c r="L15" s="4">
        <f>-COS(RADIANS(L6))*L14</f>
        <v>8.8913970501946142</v>
      </c>
      <c r="M15" s="4">
        <f>-COS(RADIANS(M6))*M14</f>
        <v>8.9019469568772287</v>
      </c>
      <c r="N15" s="4">
        <f>-COS(RADIANS(N6))*N14</f>
        <v>10.292731214148487</v>
      </c>
      <c r="O15" s="4">
        <f>-COS(RADIANS(O6))*O14</f>
        <v>11.480049960835002</v>
      </c>
      <c r="P15" s="1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s="38" customFormat="1" hidden="1" x14ac:dyDescent="0.25">
      <c r="C16" s="53" t="s">
        <v>53</v>
      </c>
      <c r="D16" s="4"/>
      <c r="E16" s="4"/>
      <c r="F16" s="4"/>
      <c r="G16" s="4"/>
      <c r="H16" s="4">
        <f>SIN(RADIANS(H6))*H14</f>
        <v>15.400351441205121</v>
      </c>
      <c r="I16" s="4">
        <f>SIN(RADIANS(I6))*I14</f>
        <v>24.262959769001903</v>
      </c>
      <c r="J16" s="4">
        <f>SIN(RADIANS(J6))*J14</f>
        <v>25.118864315095799</v>
      </c>
      <c r="K16" s="4">
        <f>SIN(RADIANS(K6))*K14</f>
        <v>24.262959769001903</v>
      </c>
      <c r="L16" s="4">
        <f>SIN(RADIANS(L6))*L14</f>
        <v>15.400351441205123</v>
      </c>
      <c r="M16" s="4"/>
      <c r="N16" s="4"/>
      <c r="O16" s="4"/>
      <c r="P16" s="4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spans="1:27" s="38" customFormat="1" hidden="1" x14ac:dyDescent="0.25">
      <c r="A17" s="38" t="str">
        <f>CONCATENATE("Output (dB(A)) @ ",AC11,"(H)")</f>
        <v>Output (dB(A)) @ (H)</v>
      </c>
      <c r="C17" s="53" t="s">
        <v>3</v>
      </c>
      <c r="D17" s="4">
        <f>AVERAGE(E15:I15)</f>
        <v>9.5769915137523132</v>
      </c>
      <c r="E17" s="4">
        <f>D17</f>
        <v>9.5769915137523132</v>
      </c>
      <c r="F17" s="4">
        <f t="shared" ref="F17:I17" si="5">E17</f>
        <v>9.5769915137523132</v>
      </c>
      <c r="G17" s="4">
        <f t="shared" si="5"/>
        <v>9.5769915137523132</v>
      </c>
      <c r="H17" s="4">
        <f t="shared" si="5"/>
        <v>9.5769915137523132</v>
      </c>
      <c r="I17" s="4">
        <f t="shared" si="5"/>
        <v>9.5769915137523132</v>
      </c>
      <c r="J17" s="4"/>
      <c r="K17" s="4">
        <f t="shared" ref="K17:N17" si="6">L17</f>
        <v>9.2134731316296428</v>
      </c>
      <c r="L17" s="4">
        <f t="shared" si="6"/>
        <v>9.2134731316296428</v>
      </c>
      <c r="M17" s="4">
        <f t="shared" si="6"/>
        <v>9.2134731316296428</v>
      </c>
      <c r="N17" s="4">
        <f t="shared" si="6"/>
        <v>9.2134731316296428</v>
      </c>
      <c r="O17" s="4">
        <f>P17</f>
        <v>9.2134731316296428</v>
      </c>
      <c r="P17" s="4">
        <f>AVERAGE(K15:O15)</f>
        <v>9.2134731316296428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spans="1:27" s="38" customFormat="1" hidden="1" x14ac:dyDescent="0.25">
      <c r="C18" s="53" t="s">
        <v>4</v>
      </c>
      <c r="D18" s="4"/>
      <c r="E18" s="4"/>
      <c r="F18" s="4"/>
      <c r="G18" s="4">
        <f>H18</f>
        <v>24.548261284366532</v>
      </c>
      <c r="H18" s="4">
        <f>I18</f>
        <v>24.548261284366532</v>
      </c>
      <c r="I18" s="4">
        <f>AVERAGE(I16:K16)</f>
        <v>24.548261284366532</v>
      </c>
      <c r="J18" s="4">
        <f>I18</f>
        <v>24.548261284366532</v>
      </c>
      <c r="K18" s="4">
        <f>J18</f>
        <v>24.548261284366532</v>
      </c>
      <c r="L18" s="4">
        <f>K18</f>
        <v>24.548261284366532</v>
      </c>
      <c r="M18" s="4">
        <f>L18</f>
        <v>24.548261284366532</v>
      </c>
      <c r="N18" s="4"/>
      <c r="O18" s="4"/>
      <c r="P18" s="4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spans="1:27" s="58" customFormat="1" x14ac:dyDescent="0.25">
      <c r="C19" s="59" t="s">
        <v>54</v>
      </c>
      <c r="D19" s="7">
        <f t="shared" ref="D19:I19" si="7">D17/COS(RADIANS(D6))</f>
        <v>9.5769915137523132</v>
      </c>
      <c r="E19" s="7">
        <f t="shared" si="7"/>
        <v>9.9148311941772747</v>
      </c>
      <c r="F19" s="7">
        <f t="shared" si="7"/>
        <v>11.058557256983319</v>
      </c>
      <c r="G19" s="7">
        <f t="shared" si="7"/>
        <v>13.543911285480558</v>
      </c>
      <c r="H19" s="7">
        <f t="shared" si="7"/>
        <v>19.153983027504623</v>
      </c>
      <c r="I19" s="7">
        <f t="shared" si="7"/>
        <v>37.002653765138398</v>
      </c>
      <c r="J19" s="7"/>
      <c r="K19" s="7">
        <f>-K17/COS(RADIANS(K6))</f>
        <v>35.598126590645954</v>
      </c>
      <c r="L19" s="7">
        <f>-L17/COS(RADIANS(L6))</f>
        <v>18.426946263259293</v>
      </c>
      <c r="M19" s="7">
        <f t="shared" ref="M19:P19" si="8">-M17/COS(RADIANS(M6))</f>
        <v>13.029818659310754</v>
      </c>
      <c r="N19" s="7">
        <f t="shared" si="8"/>
        <v>10.638802385435516</v>
      </c>
      <c r="O19" s="7">
        <f t="shared" si="8"/>
        <v>9.5384892720244636</v>
      </c>
      <c r="P19" s="7">
        <f t="shared" si="8"/>
        <v>9.2134731316296428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1:27" s="58" customFormat="1" x14ac:dyDescent="0.25">
      <c r="C20" s="59" t="s">
        <v>55</v>
      </c>
      <c r="E20" s="7"/>
      <c r="F20" s="7"/>
      <c r="G20" s="7"/>
      <c r="H20" s="7">
        <f t="shared" ref="H20:L20" si="9">H18/SIN(RADIANS(H6))</f>
        <v>28.345890521332574</v>
      </c>
      <c r="I20" s="7">
        <f t="shared" si="9"/>
        <v>25.414230178187701</v>
      </c>
      <c r="J20" s="7">
        <f t="shared" si="9"/>
        <v>24.548261284366532</v>
      </c>
      <c r="K20" s="7">
        <f t="shared" si="9"/>
        <v>25.414230178187701</v>
      </c>
      <c r="L20" s="7">
        <f t="shared" si="9"/>
        <v>28.345890521332571</v>
      </c>
      <c r="M20" s="7"/>
      <c r="N20" s="7"/>
      <c r="O20" s="7"/>
      <c r="P20" s="7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spans="1:27" s="38" customFormat="1" x14ac:dyDescent="0.25">
      <c r="A21" s="85" t="str">
        <f>CONCATENATE(E$3," @",M$2,"dB(A), ",E$4,"-tone")</f>
        <v>DS 10 @85dB(A), DIN (D)-tone</v>
      </c>
      <c r="B21" s="86"/>
      <c r="C21" s="86"/>
      <c r="D21" s="86"/>
      <c r="E21" s="54"/>
      <c r="F21" s="54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39"/>
      <c r="R21" s="39"/>
      <c r="S21" s="8"/>
      <c r="T21" s="8"/>
      <c r="U21" s="8"/>
      <c r="V21" s="8"/>
      <c r="W21" s="8"/>
      <c r="X21" s="8"/>
      <c r="Y21" s="8"/>
      <c r="Z21" s="8"/>
      <c r="AA21" s="8"/>
    </row>
    <row r="22" spans="1:27" x14ac:dyDescent="0.25">
      <c r="A22" s="87"/>
      <c r="B22" s="88"/>
      <c r="C22" s="89"/>
      <c r="D22" s="5" t="s">
        <v>8</v>
      </c>
      <c r="E22" s="5" t="s">
        <v>9</v>
      </c>
      <c r="F22" s="5" t="s">
        <v>18</v>
      </c>
      <c r="G22" s="4"/>
      <c r="H22" s="4"/>
      <c r="L22" s="4"/>
      <c r="M22" s="4"/>
      <c r="N22" s="4"/>
      <c r="O22" s="4"/>
      <c r="P22" s="4"/>
    </row>
    <row r="23" spans="1:27" ht="30.75" customHeight="1" x14ac:dyDescent="0.25">
      <c r="A23" s="74" t="s">
        <v>17</v>
      </c>
      <c r="B23" s="74"/>
      <c r="C23" s="74"/>
      <c r="D23" s="10">
        <f>D17+P17</f>
        <v>18.790464645381956</v>
      </c>
      <c r="E23" s="11">
        <f>I18</f>
        <v>24.548261284366532</v>
      </c>
      <c r="F23" s="11">
        <f>D23*E23</f>
        <v>461.273235769488</v>
      </c>
      <c r="G23" s="6" t="s">
        <v>5</v>
      </c>
      <c r="H23" s="84" t="s">
        <v>56</v>
      </c>
      <c r="I23" s="84"/>
      <c r="J23" s="84"/>
      <c r="K23" s="84"/>
      <c r="L23" s="84"/>
      <c r="M23" s="84"/>
      <c r="N23" s="84"/>
      <c r="O23" s="84"/>
      <c r="P23" s="84"/>
    </row>
    <row r="24" spans="1:27" s="22" customFormat="1" ht="30" customHeight="1" x14ac:dyDescent="0.25">
      <c r="A24" s="70" t="s">
        <v>24</v>
      </c>
      <c r="B24" s="71"/>
      <c r="C24" s="72"/>
      <c r="D24" s="23">
        <f>(POWER(10,(3)/20)-1)*D23/2</f>
        <v>3.8758860735632736</v>
      </c>
      <c r="E24" s="23">
        <f>(POWER(10,(3)/20)-1)*E23/2</f>
        <v>5.0635397175051962</v>
      </c>
      <c r="G24" s="73" t="s">
        <v>23</v>
      </c>
      <c r="H24" s="73"/>
      <c r="I24" s="73"/>
      <c r="J24" s="73"/>
      <c r="K24" s="73"/>
      <c r="L24" s="73"/>
      <c r="M24" s="73"/>
      <c r="N24" s="73"/>
      <c r="O24" s="73"/>
      <c r="P24" s="73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spans="1:27" s="30" customFormat="1" x14ac:dyDescent="0.25">
      <c r="A25" s="64" t="s">
        <v>39</v>
      </c>
      <c r="B25" s="65"/>
      <c r="C25" s="66"/>
      <c r="D25" s="11">
        <f>D23/2</f>
        <v>9.395232322690978</v>
      </c>
      <c r="E25" s="6" t="s">
        <v>22</v>
      </c>
      <c r="G25" s="73" t="s">
        <v>25</v>
      </c>
      <c r="H25" s="73"/>
      <c r="I25" s="73"/>
      <c r="J25" s="73"/>
      <c r="K25" s="73"/>
      <c r="L25" s="73"/>
      <c r="M25" s="73"/>
      <c r="N25" s="73"/>
      <c r="O25" s="73"/>
      <c r="P25" s="73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spans="1:27" s="30" customFormat="1" x14ac:dyDescent="0.25">
      <c r="A26" s="67"/>
      <c r="B26" s="68"/>
      <c r="C26" s="69"/>
      <c r="D26" s="11">
        <f>E23</f>
        <v>24.548261284366532</v>
      </c>
      <c r="E26" s="6" t="s">
        <v>38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</sheetData>
  <sheetProtection selectLockedCells="1"/>
  <mergeCells count="22">
    <mergeCell ref="A25:C26"/>
    <mergeCell ref="G25:P25"/>
    <mergeCell ref="A2:B2"/>
    <mergeCell ref="A24:C24"/>
    <mergeCell ref="F2:G2"/>
    <mergeCell ref="K2:L2"/>
    <mergeCell ref="D5:K5"/>
    <mergeCell ref="A6:C6"/>
    <mergeCell ref="A13:C13"/>
    <mergeCell ref="G24:P24"/>
    <mergeCell ref="A14:C14"/>
    <mergeCell ref="A22:C22"/>
    <mergeCell ref="A23:C23"/>
    <mergeCell ref="E4:F4"/>
    <mergeCell ref="H23:P23"/>
    <mergeCell ref="A12:C12"/>
    <mergeCell ref="A21:D21"/>
    <mergeCell ref="A7:C7"/>
    <mergeCell ref="A8:C8"/>
    <mergeCell ref="A9:C9"/>
    <mergeCell ref="A10:C10"/>
    <mergeCell ref="A11:C11"/>
  </mergeCells>
  <dataValidations count="1">
    <dataValidation type="list" allowBlank="1" showInputMessage="1" showErrorMessage="1" sqref="E4:F4" xr:uid="{00000000-0002-0000-0700-000000000000}">
      <formula1>"DIN (D),Slow Whoop (NL), Cont. 950 Hz,Interrupted 660 Hz (S),Alternating (UK),Alernating (F)"</formula1>
    </dataValidation>
  </dataValidations>
  <pageMargins left="0.59055118110236227" right="0.51181102362204722" top="0.74803149606299213" bottom="0.74803149606299213" header="0.31496062992125984" footer="0.31496062992125984"/>
  <pageSetup paperSize="9" scale="73" fitToWidth="0" orientation="landscape" r:id="rId1"/>
  <headerFooter>
    <oddHeader>&amp;L&amp;G&amp;C&amp;"-,Fett"&amp;14Abstrahlcharakteristik / dispersion characteristic
Schallgeber / Sounder
&amp;R&amp;G</oddHeader>
    <oddFooter>&amp;LPfannenberg GmbH</oddFooter>
  </headerFooter>
  <rowBreaks count="1" manualBreakCount="1">
    <brk id="32" max="16383" man="1"/>
  </rowBreaks>
  <colBreaks count="1" manualBreakCount="1">
    <brk id="16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3D573-331C-46F3-969D-7CE595ED0324}">
  <sheetPr>
    <tabColor theme="9" tint="0.39997558519241921"/>
    <pageSetUpPr fitToPage="1"/>
  </sheetPr>
  <dimension ref="A1:AA41"/>
  <sheetViews>
    <sheetView topLeftCell="C1" zoomScaleNormal="100" workbookViewId="0">
      <selection activeCell="R15" sqref="R15"/>
    </sheetView>
  </sheetViews>
  <sheetFormatPr baseColWidth="10" defaultRowHeight="15" x14ac:dyDescent="0.25"/>
  <cols>
    <col min="1" max="1" width="12.5703125" style="63" customWidth="1"/>
    <col min="2" max="2" width="10.85546875" style="63" customWidth="1"/>
    <col min="3" max="3" width="7.140625" style="63" customWidth="1"/>
    <col min="4" max="9" width="11.42578125" style="63"/>
    <col min="10" max="10" width="11.42578125" style="63" customWidth="1"/>
    <col min="11" max="14" width="11.42578125" style="63"/>
    <col min="15" max="16" width="11.42578125" style="63" customWidth="1"/>
    <col min="17" max="27" width="11.42578125" style="8"/>
    <col min="28" max="16384" width="11.42578125" style="63"/>
  </cols>
  <sheetData>
    <row r="1" spans="1:27" x14ac:dyDescent="0.25">
      <c r="A1" s="42" t="s">
        <v>46</v>
      </c>
      <c r="B1" s="43"/>
    </row>
    <row r="2" spans="1:27" ht="35.25" customHeight="1" x14ac:dyDescent="0.25">
      <c r="A2" s="77" t="s">
        <v>1</v>
      </c>
      <c r="B2" s="77"/>
      <c r="C2" s="40">
        <v>80</v>
      </c>
      <c r="D2" s="26" t="s">
        <v>12</v>
      </c>
      <c r="E2" s="27" t="str">
        <f>CONCATENATE(M2," dB Schalldruck/
sound presure")</f>
        <v>90 dB Schalldruck/
sound presure</v>
      </c>
      <c r="F2" s="82" t="s">
        <v>11</v>
      </c>
      <c r="G2" s="82"/>
      <c r="H2" s="40">
        <v>10</v>
      </c>
      <c r="I2" s="2" t="s">
        <v>0</v>
      </c>
      <c r="K2" s="76" t="s">
        <v>10</v>
      </c>
      <c r="L2" s="77"/>
      <c r="M2" s="15">
        <f>C2+H2</f>
        <v>90</v>
      </c>
      <c r="N2" s="2" t="s">
        <v>12</v>
      </c>
    </row>
    <row r="3" spans="1:27" ht="18.75" x14ac:dyDescent="0.3">
      <c r="D3" s="16" t="s">
        <v>14</v>
      </c>
      <c r="E3" s="17" t="s">
        <v>63</v>
      </c>
      <c r="F3" s="20"/>
      <c r="G3" s="20"/>
      <c r="H3" s="20"/>
      <c r="I3" s="17"/>
      <c r="J3" s="17"/>
      <c r="K3" s="18"/>
    </row>
    <row r="4" spans="1:27" ht="18.75" x14ac:dyDescent="0.3">
      <c r="D4" s="19" t="s">
        <v>15</v>
      </c>
      <c r="E4" s="20" t="s">
        <v>16</v>
      </c>
      <c r="F4" s="20" t="s">
        <v>61</v>
      </c>
      <c r="G4" s="20"/>
      <c r="H4" s="20"/>
      <c r="I4" s="20"/>
      <c r="J4" s="20"/>
      <c r="K4" s="21"/>
    </row>
    <row r="5" spans="1:27" ht="18.75" x14ac:dyDescent="0.3">
      <c r="D5" s="90" t="s">
        <v>2</v>
      </c>
      <c r="E5" s="91"/>
      <c r="F5" s="91"/>
      <c r="G5" s="91"/>
      <c r="H5" s="91"/>
      <c r="I5" s="91"/>
      <c r="J5" s="91"/>
      <c r="K5" s="92"/>
    </row>
    <row r="6" spans="1:27" x14ac:dyDescent="0.25">
      <c r="A6" s="78" t="s">
        <v>7</v>
      </c>
      <c r="B6" s="78"/>
      <c r="C6" s="78"/>
      <c r="D6" s="12">
        <v>0</v>
      </c>
      <c r="E6" s="12">
        <v>15</v>
      </c>
      <c r="F6" s="12">
        <v>30</v>
      </c>
      <c r="G6" s="12">
        <v>45</v>
      </c>
      <c r="H6" s="12">
        <v>60</v>
      </c>
      <c r="I6" s="12">
        <v>75</v>
      </c>
      <c r="J6" s="12">
        <v>90</v>
      </c>
      <c r="K6" s="12">
        <v>105</v>
      </c>
      <c r="L6" s="12">
        <v>120</v>
      </c>
      <c r="M6" s="12">
        <v>135</v>
      </c>
      <c r="N6" s="12">
        <v>150</v>
      </c>
      <c r="O6" s="12">
        <v>165</v>
      </c>
      <c r="P6" s="12">
        <v>180</v>
      </c>
      <c r="Q6" s="8">
        <f>P6+15</f>
        <v>195</v>
      </c>
      <c r="R6" s="8">
        <f>Q6+15</f>
        <v>210</v>
      </c>
      <c r="S6" s="8">
        <f t="shared" ref="S6:Z6" si="0">R6+15</f>
        <v>225</v>
      </c>
      <c r="T6" s="8">
        <f t="shared" si="0"/>
        <v>240</v>
      </c>
      <c r="U6" s="8">
        <f t="shared" si="0"/>
        <v>255</v>
      </c>
      <c r="V6" s="8">
        <f t="shared" si="0"/>
        <v>270</v>
      </c>
      <c r="W6" s="8">
        <f t="shared" si="0"/>
        <v>285</v>
      </c>
      <c r="X6" s="8">
        <f t="shared" si="0"/>
        <v>300</v>
      </c>
      <c r="Y6" s="8">
        <f t="shared" si="0"/>
        <v>315</v>
      </c>
      <c r="Z6" s="8">
        <f t="shared" si="0"/>
        <v>330</v>
      </c>
      <c r="AA6" s="8">
        <f>Z6+15</f>
        <v>345</v>
      </c>
    </row>
    <row r="7" spans="1:27" x14ac:dyDescent="0.25">
      <c r="A7" s="78" t="s">
        <v>13</v>
      </c>
      <c r="B7" s="78"/>
      <c r="C7" s="78"/>
      <c r="D7" s="13">
        <v>96</v>
      </c>
      <c r="E7" s="13">
        <v>98</v>
      </c>
      <c r="F7" s="13">
        <v>100.5</v>
      </c>
      <c r="G7" s="13">
        <v>102.5</v>
      </c>
      <c r="H7" s="13">
        <v>103.5</v>
      </c>
      <c r="I7" s="13">
        <v>104.5</v>
      </c>
      <c r="J7" s="13">
        <v>104</v>
      </c>
      <c r="K7" s="13">
        <v>105</v>
      </c>
      <c r="L7" s="13">
        <v>103</v>
      </c>
      <c r="M7" s="13">
        <v>100</v>
      </c>
      <c r="N7" s="13">
        <v>98.8</v>
      </c>
      <c r="O7" s="13">
        <v>98</v>
      </c>
      <c r="P7" s="13">
        <v>96</v>
      </c>
      <c r="Q7" s="8">
        <f>$P$7</f>
        <v>96</v>
      </c>
      <c r="R7" s="8">
        <f t="shared" ref="R7:AA7" si="1">$P$7</f>
        <v>96</v>
      </c>
      <c r="S7" s="8">
        <f t="shared" si="1"/>
        <v>96</v>
      </c>
      <c r="T7" s="8">
        <f t="shared" si="1"/>
        <v>96</v>
      </c>
      <c r="U7" s="8">
        <f t="shared" si="1"/>
        <v>96</v>
      </c>
      <c r="V7" s="8">
        <f t="shared" si="1"/>
        <v>96</v>
      </c>
      <c r="W7" s="8">
        <f t="shared" si="1"/>
        <v>96</v>
      </c>
      <c r="X7" s="8">
        <f t="shared" si="1"/>
        <v>96</v>
      </c>
      <c r="Y7" s="8">
        <f t="shared" si="1"/>
        <v>96</v>
      </c>
      <c r="Z7" s="8">
        <f t="shared" si="1"/>
        <v>96</v>
      </c>
      <c r="AA7" s="8">
        <f t="shared" si="1"/>
        <v>96</v>
      </c>
    </row>
    <row r="8" spans="1:27" x14ac:dyDescent="0.25">
      <c r="A8" s="78" t="s">
        <v>6</v>
      </c>
      <c r="B8" s="78"/>
      <c r="C8" s="78"/>
      <c r="D8" s="14">
        <f>POWER(10,(D7-($M$2))/20)</f>
        <v>1.9952623149688797</v>
      </c>
      <c r="E8" s="14">
        <f t="shared" ref="E8:P8" si="2">POWER(10,(E7-($M$2))/20)</f>
        <v>2.5118864315095806</v>
      </c>
      <c r="F8" s="14">
        <f t="shared" si="2"/>
        <v>3.349654391578277</v>
      </c>
      <c r="G8" s="14">
        <f t="shared" si="2"/>
        <v>4.2169650342858231</v>
      </c>
      <c r="H8" s="14">
        <f t="shared" si="2"/>
        <v>4.7315125896148054</v>
      </c>
      <c r="I8" s="14">
        <f t="shared" si="2"/>
        <v>5.3088444423098844</v>
      </c>
      <c r="J8" s="14">
        <f t="shared" si="2"/>
        <v>5.0118723362727229</v>
      </c>
      <c r="K8" s="14">
        <f t="shared" si="2"/>
        <v>5.6234132519034921</v>
      </c>
      <c r="L8" s="14">
        <f t="shared" si="2"/>
        <v>4.4668359215096318</v>
      </c>
      <c r="M8" s="14">
        <f t="shared" si="2"/>
        <v>3.1622776601683795</v>
      </c>
      <c r="N8" s="14">
        <f t="shared" si="2"/>
        <v>2.7542287033381658</v>
      </c>
      <c r="O8" s="14">
        <f t="shared" si="2"/>
        <v>2.5118864315095806</v>
      </c>
      <c r="P8" s="14">
        <f t="shared" si="2"/>
        <v>1.9952623149688797</v>
      </c>
      <c r="Q8" s="9">
        <f>POWER(10,(Q7-($M$2))/20)</f>
        <v>1.9952623149688797</v>
      </c>
      <c r="R8" s="9">
        <f t="shared" ref="R8:AA8" si="3">POWER(10,(R7-($M$2))/20)</f>
        <v>1.9952623149688797</v>
      </c>
      <c r="S8" s="9">
        <f t="shared" si="3"/>
        <v>1.9952623149688797</v>
      </c>
      <c r="T8" s="9">
        <f t="shared" si="3"/>
        <v>1.9952623149688797</v>
      </c>
      <c r="U8" s="9">
        <f t="shared" si="3"/>
        <v>1.9952623149688797</v>
      </c>
      <c r="V8" s="9">
        <f t="shared" si="3"/>
        <v>1.9952623149688797</v>
      </c>
      <c r="W8" s="9">
        <f t="shared" si="3"/>
        <v>1.9952623149688797</v>
      </c>
      <c r="X8" s="9">
        <f t="shared" si="3"/>
        <v>1.9952623149688797</v>
      </c>
      <c r="Y8" s="9">
        <f t="shared" si="3"/>
        <v>1.9952623149688797</v>
      </c>
      <c r="Z8" s="9">
        <f t="shared" si="3"/>
        <v>1.9952623149688797</v>
      </c>
      <c r="AA8" s="9">
        <f t="shared" si="3"/>
        <v>1.9952623149688797</v>
      </c>
    </row>
    <row r="9" spans="1:27" hidden="1" x14ac:dyDescent="0.25">
      <c r="A9" s="63" t="str">
        <f>CONCATENATE("Output (dB(A)) @ ",AC7,"(H)")</f>
        <v>Output (dB(A)) @ (H)</v>
      </c>
      <c r="D9" s="1"/>
      <c r="E9" s="4">
        <f>COS(RADIANS(E6))*E8</f>
        <v>2.4262959769001906</v>
      </c>
      <c r="F9" s="4">
        <f>COS(RADIANS(F6))*F8</f>
        <v>2.9008857970048956</v>
      </c>
      <c r="G9" s="4">
        <f>COS(RADIANS(G6))*G8</f>
        <v>2.9818445717700675</v>
      </c>
      <c r="H9" s="4">
        <f>COS(RADIANS(H6))*H8</f>
        <v>2.3657562948074031</v>
      </c>
      <c r="I9" s="4">
        <f>COS(RADIANS(I6))*I8</f>
        <v>1.3740300491564685</v>
      </c>
      <c r="J9" s="4"/>
      <c r="K9" s="4">
        <f>-COS(RADIANS(K6))*K8</f>
        <v>1.4554464480745233</v>
      </c>
      <c r="L9" s="4">
        <f>-COS(RADIANS(L6))*L8</f>
        <v>2.233417960754815</v>
      </c>
      <c r="M9" s="4">
        <f>-COS(RADIANS(M6))*M8</f>
        <v>2.2360679774997898</v>
      </c>
      <c r="N9" s="4">
        <f>-COS(RADIANS(N6))*N8</f>
        <v>2.385232024923126</v>
      </c>
      <c r="O9" s="4">
        <f>-COS(RADIANS(O6))*O8</f>
        <v>2.4262959769001906</v>
      </c>
      <c r="P9" s="1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idden="1" x14ac:dyDescent="0.25">
      <c r="D10" s="4"/>
      <c r="E10" s="4"/>
      <c r="F10" s="4"/>
      <c r="G10" s="4"/>
      <c r="H10" s="4"/>
      <c r="I10" s="4">
        <f>SIN(RADIANS(I6))*I8</f>
        <v>5.1279499545783027</v>
      </c>
      <c r="J10" s="4">
        <f>SIN(RADIANS(J6))*J8</f>
        <v>5.0118723362727229</v>
      </c>
      <c r="K10" s="4">
        <f>SIN(RADIANS(K6))*K8</f>
        <v>5.4318000919097775</v>
      </c>
      <c r="L10" s="4"/>
      <c r="M10" s="4"/>
      <c r="N10" s="4"/>
      <c r="O10" s="4"/>
      <c r="P10" s="4"/>
    </row>
    <row r="11" spans="1:27" hidden="1" x14ac:dyDescent="0.25">
      <c r="A11" s="63" t="str">
        <f>CONCATENATE("Output (dB(A)) @ ",AC8,"(H)")</f>
        <v>Output (dB(A)) @ (H)</v>
      </c>
      <c r="C11" s="63" t="s">
        <v>3</v>
      </c>
      <c r="D11" s="4">
        <f>AVERAGE(E9:I9)</f>
        <v>2.4097625379278051</v>
      </c>
      <c r="E11" s="4">
        <f>D11</f>
        <v>2.4097625379278051</v>
      </c>
      <c r="F11" s="4">
        <f t="shared" ref="F11:I11" si="4">E11</f>
        <v>2.4097625379278051</v>
      </c>
      <c r="G11" s="4">
        <f t="shared" si="4"/>
        <v>2.4097625379278051</v>
      </c>
      <c r="H11" s="4">
        <f t="shared" si="4"/>
        <v>2.4097625379278051</v>
      </c>
      <c r="I11" s="4">
        <f t="shared" si="4"/>
        <v>2.4097625379278051</v>
      </c>
      <c r="J11" s="4"/>
      <c r="K11" s="4">
        <f t="shared" ref="K11:N11" si="5">L11</f>
        <v>2.1472920776304889</v>
      </c>
      <c r="L11" s="4">
        <f t="shared" si="5"/>
        <v>2.1472920776304889</v>
      </c>
      <c r="M11" s="4">
        <f t="shared" si="5"/>
        <v>2.1472920776304889</v>
      </c>
      <c r="N11" s="4">
        <f t="shared" si="5"/>
        <v>2.1472920776304889</v>
      </c>
      <c r="O11" s="4">
        <f>P11</f>
        <v>2.1472920776304889</v>
      </c>
      <c r="P11" s="4">
        <f>AVERAGE(K9:O9)</f>
        <v>2.1472920776304889</v>
      </c>
    </row>
    <row r="12" spans="1:27" hidden="1" x14ac:dyDescent="0.25">
      <c r="C12" s="63" t="s">
        <v>4</v>
      </c>
      <c r="D12" s="4"/>
      <c r="E12" s="4"/>
      <c r="F12" s="4"/>
      <c r="G12" s="4"/>
      <c r="H12" s="4">
        <f>I12</f>
        <v>5.190540794253601</v>
      </c>
      <c r="I12" s="4">
        <f>AVERAGE(I10:K10)</f>
        <v>5.190540794253601</v>
      </c>
      <c r="J12" s="4">
        <f>I12</f>
        <v>5.190540794253601</v>
      </c>
      <c r="K12" s="4">
        <f>J12</f>
        <v>5.190540794253601</v>
      </c>
      <c r="L12" s="4">
        <f>K12</f>
        <v>5.190540794253601</v>
      </c>
      <c r="M12" s="4"/>
      <c r="N12" s="4"/>
      <c r="O12" s="4"/>
      <c r="P12" s="4"/>
    </row>
    <row r="13" spans="1:27" x14ac:dyDescent="0.25">
      <c r="D13" s="7">
        <f t="shared" ref="D13:I13" si="6">D11/COS(RADIANS(D6))</f>
        <v>2.4097625379278051</v>
      </c>
      <c r="E13" s="7">
        <f t="shared" si="6"/>
        <v>2.4947697559612059</v>
      </c>
      <c r="F13" s="7">
        <f t="shared" si="6"/>
        <v>2.7825540999113878</v>
      </c>
      <c r="G13" s="7">
        <f t="shared" si="6"/>
        <v>3.4079188632361115</v>
      </c>
      <c r="H13" s="7">
        <f t="shared" si="6"/>
        <v>4.8195250758556094</v>
      </c>
      <c r="I13" s="7">
        <f t="shared" si="6"/>
        <v>9.3106074824334311</v>
      </c>
      <c r="J13" s="7"/>
      <c r="K13" s="7">
        <f>-K11/COS(RADIANS(K6))</f>
        <v>8.2964994974767983</v>
      </c>
      <c r="L13" s="7">
        <f>-L11/COS(RADIANS(L6))</f>
        <v>4.2945841552609796</v>
      </c>
      <c r="M13" s="7">
        <f t="shared" ref="M13:P13" si="7">-M11/COS(RADIANS(M6))</f>
        <v>3.0367295785613386</v>
      </c>
      <c r="N13" s="7">
        <f t="shared" si="7"/>
        <v>2.4794793180974271</v>
      </c>
      <c r="O13" s="7">
        <f t="shared" si="7"/>
        <v>2.2230403403541241</v>
      </c>
      <c r="P13" s="7">
        <f t="shared" si="7"/>
        <v>2.1472920776304889</v>
      </c>
    </row>
    <row r="14" spans="1:27" x14ac:dyDescent="0.25">
      <c r="D14" s="7"/>
      <c r="E14" s="7"/>
      <c r="F14" s="7"/>
      <c r="G14" s="7"/>
      <c r="H14" s="7">
        <f>H12/SIN(RADIANS(H6))</f>
        <v>5.9935202496041011</v>
      </c>
      <c r="I14" s="7">
        <f>I12/SIN(RADIANS(I6))</f>
        <v>5.3736432477375864</v>
      </c>
      <c r="J14" s="7">
        <f>J12/SIN(RADIANS(J6))</f>
        <v>5.190540794253601</v>
      </c>
      <c r="K14" s="7">
        <f>K12/SIN(RADIANS(K6))</f>
        <v>5.3736432477375864</v>
      </c>
      <c r="L14" s="7">
        <f>L12/SIN(RADIANS(L6))</f>
        <v>5.9935202496041002</v>
      </c>
      <c r="M14" s="7"/>
      <c r="N14" s="7"/>
      <c r="O14" s="7"/>
      <c r="P14" s="7"/>
    </row>
    <row r="15" spans="1:27" x14ac:dyDescent="0.25">
      <c r="A15" s="87" t="str">
        <f>CONCATENATE("Output (dB(A)) @ ",AC10,"(H)")</f>
        <v>Output (dB(A)) @ (H)</v>
      </c>
      <c r="B15" s="88"/>
      <c r="C15" s="89"/>
      <c r="D15" s="5" t="s">
        <v>8</v>
      </c>
      <c r="E15" s="5" t="s">
        <v>9</v>
      </c>
      <c r="F15" s="5" t="s">
        <v>18</v>
      </c>
      <c r="G15" s="4"/>
      <c r="H15" s="4"/>
      <c r="L15" s="4"/>
      <c r="M15" s="4"/>
      <c r="N15" s="4"/>
      <c r="O15" s="4"/>
      <c r="P15" s="4"/>
    </row>
    <row r="16" spans="1:27" ht="30.75" customHeight="1" x14ac:dyDescent="0.25">
      <c r="A16" s="74" t="s">
        <v>17</v>
      </c>
      <c r="B16" s="74"/>
      <c r="C16" s="74"/>
      <c r="D16" s="10">
        <f>D11+P11</f>
        <v>4.5570546155582941</v>
      </c>
      <c r="E16" s="11">
        <f>I12</f>
        <v>5.190540794253601</v>
      </c>
      <c r="F16" s="11">
        <f>D16*E16</f>
        <v>23.653577883696986</v>
      </c>
      <c r="G16" s="6" t="s">
        <v>5</v>
      </c>
      <c r="H16" s="29" t="s">
        <v>29</v>
      </c>
    </row>
    <row r="17" spans="1:16" ht="30" customHeight="1" x14ac:dyDescent="0.25">
      <c r="A17" s="70" t="str">
        <f>CONCATENATE("Output (dB(A)) @ ",AC11,"(H)")</f>
        <v>Output (dB(A)) @ (H)</v>
      </c>
      <c r="B17" s="71"/>
      <c r="C17" s="72"/>
      <c r="D17" s="23">
        <f>(POWER(10,(3)/20)-1)*D16/2</f>
        <v>0.93997806090710423</v>
      </c>
      <c r="E17" s="23">
        <f>(POWER(10,(3)/20)-1)*E16/2</f>
        <v>1.070646477262811</v>
      </c>
      <c r="G17" s="73" t="s">
        <v>23</v>
      </c>
      <c r="H17" s="73"/>
      <c r="I17" s="73"/>
      <c r="J17" s="73"/>
      <c r="K17" s="73"/>
      <c r="L17" s="73"/>
      <c r="M17" s="73"/>
      <c r="N17" s="73"/>
      <c r="O17" s="73"/>
      <c r="P17" s="73"/>
    </row>
    <row r="18" spans="1:16" x14ac:dyDescent="0.25">
      <c r="A18" s="64" t="s">
        <v>39</v>
      </c>
      <c r="B18" s="65"/>
      <c r="C18" s="66"/>
      <c r="D18" s="11">
        <f>D16/2</f>
        <v>2.278527307779147</v>
      </c>
      <c r="E18" s="6" t="s">
        <v>22</v>
      </c>
      <c r="G18" s="73" t="s">
        <v>25</v>
      </c>
      <c r="H18" s="73"/>
      <c r="I18" s="73"/>
      <c r="J18" s="73"/>
      <c r="K18" s="73"/>
      <c r="L18" s="73"/>
      <c r="M18" s="73"/>
      <c r="N18" s="73"/>
      <c r="O18" s="73"/>
      <c r="P18" s="73"/>
    </row>
    <row r="19" spans="1:16" x14ac:dyDescent="0.25">
      <c r="A19" s="67"/>
      <c r="B19" s="68"/>
      <c r="C19" s="69"/>
      <c r="D19" s="11">
        <f>E16</f>
        <v>5.190540794253601</v>
      </c>
      <c r="E19" s="6" t="s">
        <v>38</v>
      </c>
    </row>
    <row r="25" spans="1:16" ht="18.75" x14ac:dyDescent="0.25">
      <c r="B25" s="26"/>
      <c r="C25" s="27"/>
      <c r="D25" s="75"/>
      <c r="E25" s="75"/>
      <c r="F25" s="28"/>
    </row>
    <row r="31" spans="1:16" x14ac:dyDescent="0.25">
      <c r="N31" s="61"/>
      <c r="P31" s="61"/>
    </row>
    <row r="39" spans="14:16" x14ac:dyDescent="0.25">
      <c r="N39" s="53"/>
      <c r="O39" s="62"/>
      <c r="P39" s="62"/>
    </row>
    <row r="41" spans="14:16" x14ac:dyDescent="0.25">
      <c r="N41" s="6"/>
      <c r="O41" s="6"/>
      <c r="P41" s="6"/>
    </row>
  </sheetData>
  <sheetProtection selectLockedCells="1"/>
  <mergeCells count="14">
    <mergeCell ref="G17:P17"/>
    <mergeCell ref="A18:C19"/>
    <mergeCell ref="G18:P18"/>
    <mergeCell ref="A2:B2"/>
    <mergeCell ref="F2:G2"/>
    <mergeCell ref="K2:L2"/>
    <mergeCell ref="D5:K5"/>
    <mergeCell ref="A6:C6"/>
    <mergeCell ref="A7:C7"/>
    <mergeCell ref="D25:E25"/>
    <mergeCell ref="A8:C8"/>
    <mergeCell ref="A15:C15"/>
    <mergeCell ref="A16:C16"/>
    <mergeCell ref="A17:C17"/>
  </mergeCells>
  <pageMargins left="0.25" right="0.25" top="0.75" bottom="0.75" header="0.3" footer="0.3"/>
  <pageSetup paperSize="9" scale="73" fitToWidth="0" orientation="landscape" r:id="rId1"/>
  <headerFooter>
    <oddHeader>&amp;L&amp;G&amp;C&amp;"-,Fett"&amp;14Abstrahlcharakteristik / dispersion characteristic
Schallgeber / Sounder
&amp;R&amp;G</oddHeader>
    <oddFooter>&amp;LPfannenberg GmbH</oddFooter>
  </headerFooter>
  <rowBreaks count="1" manualBreakCount="1">
    <brk id="25" max="16383" man="1"/>
  </rowBreaks>
  <colBreaks count="1" manualBreakCount="1">
    <brk id="16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0.39997558519241921"/>
    <pageSetUpPr fitToPage="1"/>
  </sheetPr>
  <dimension ref="A2:AA25"/>
  <sheetViews>
    <sheetView topLeftCell="A2" zoomScaleNormal="100" workbookViewId="0">
      <selection activeCell="C3" sqref="C3"/>
    </sheetView>
  </sheetViews>
  <sheetFormatPr baseColWidth="10" defaultRowHeight="15" x14ac:dyDescent="0.25"/>
  <cols>
    <col min="1" max="1" width="12.5703125" style="60" customWidth="1"/>
    <col min="2" max="2" width="6.85546875" style="60" customWidth="1"/>
    <col min="3" max="3" width="7.140625" style="60" customWidth="1"/>
    <col min="4" max="9" width="11.42578125" style="60"/>
    <col min="10" max="10" width="11.42578125" style="60" customWidth="1"/>
    <col min="11" max="14" width="11.42578125" style="60"/>
    <col min="15" max="16" width="11.42578125" style="60" customWidth="1"/>
    <col min="17" max="27" width="11.42578125" style="8"/>
    <col min="28" max="16384" width="11.42578125" style="60"/>
  </cols>
  <sheetData>
    <row r="2" spans="1:27" ht="35.25" customHeight="1" x14ac:dyDescent="0.25">
      <c r="A2" s="77" t="s">
        <v>1</v>
      </c>
      <c r="B2" s="77"/>
      <c r="C2" s="25">
        <v>80</v>
      </c>
      <c r="D2" s="26" t="s">
        <v>12</v>
      </c>
      <c r="E2" s="27" t="str">
        <f>CONCATENATE(M2," dB Schalldruck/
sound presure")</f>
        <v>90 dB Schalldruck/
sound presure</v>
      </c>
      <c r="F2" s="75" t="s">
        <v>11</v>
      </c>
      <c r="G2" s="75"/>
      <c r="H2" s="28">
        <v>10</v>
      </c>
      <c r="I2" s="2" t="s">
        <v>0</v>
      </c>
      <c r="K2" s="76" t="s">
        <v>10</v>
      </c>
      <c r="L2" s="77"/>
      <c r="M2" s="15">
        <f>C2+H2</f>
        <v>90</v>
      </c>
      <c r="N2" s="2" t="s">
        <v>12</v>
      </c>
    </row>
    <row r="3" spans="1:27" ht="18.75" x14ac:dyDescent="0.3">
      <c r="D3" s="16" t="s">
        <v>14</v>
      </c>
      <c r="E3" s="17" t="s">
        <v>60</v>
      </c>
      <c r="F3" s="17"/>
      <c r="G3" s="17"/>
      <c r="H3" s="17"/>
      <c r="I3" s="17"/>
      <c r="J3" s="17"/>
      <c r="K3" s="18"/>
    </row>
    <row r="4" spans="1:27" ht="18.75" x14ac:dyDescent="0.3">
      <c r="D4" s="19" t="s">
        <v>15</v>
      </c>
      <c r="E4" s="20" t="s">
        <v>16</v>
      </c>
      <c r="F4" s="20" t="s">
        <v>61</v>
      </c>
      <c r="G4" s="20"/>
      <c r="H4" s="20"/>
      <c r="I4" s="20"/>
      <c r="J4" s="20"/>
      <c r="K4" s="21"/>
    </row>
    <row r="5" spans="1:27" ht="18.75" x14ac:dyDescent="0.3">
      <c r="D5" s="90" t="s">
        <v>2</v>
      </c>
      <c r="E5" s="91"/>
      <c r="F5" s="91"/>
      <c r="G5" s="91"/>
      <c r="H5" s="91"/>
      <c r="I5" s="91"/>
      <c r="J5" s="91"/>
      <c r="K5" s="92"/>
    </row>
    <row r="6" spans="1:27" x14ac:dyDescent="0.25">
      <c r="A6" s="78" t="s">
        <v>7</v>
      </c>
      <c r="B6" s="78"/>
      <c r="C6" s="78"/>
      <c r="D6" s="12">
        <v>0</v>
      </c>
      <c r="E6" s="12">
        <v>15</v>
      </c>
      <c r="F6" s="12">
        <v>30</v>
      </c>
      <c r="G6" s="12">
        <v>45</v>
      </c>
      <c r="H6" s="12">
        <v>60</v>
      </c>
      <c r="I6" s="12">
        <v>75</v>
      </c>
      <c r="J6" s="12">
        <v>90</v>
      </c>
      <c r="K6" s="12">
        <v>105</v>
      </c>
      <c r="L6" s="12">
        <v>120</v>
      </c>
      <c r="M6" s="12">
        <v>135</v>
      </c>
      <c r="N6" s="12">
        <v>150</v>
      </c>
      <c r="O6" s="12">
        <v>165</v>
      </c>
      <c r="P6" s="12">
        <v>180</v>
      </c>
      <c r="Q6" s="8">
        <f>P6+15</f>
        <v>195</v>
      </c>
      <c r="R6" s="8">
        <f>Q6+15</f>
        <v>210</v>
      </c>
      <c r="S6" s="8">
        <f t="shared" ref="S6:Z6" si="0">R6+15</f>
        <v>225</v>
      </c>
      <c r="T6" s="8">
        <f t="shared" si="0"/>
        <v>240</v>
      </c>
      <c r="U6" s="8">
        <f t="shared" si="0"/>
        <v>255</v>
      </c>
      <c r="V6" s="8">
        <f t="shared" si="0"/>
        <v>270</v>
      </c>
      <c r="W6" s="8">
        <f t="shared" si="0"/>
        <v>285</v>
      </c>
      <c r="X6" s="8">
        <f t="shared" si="0"/>
        <v>300</v>
      </c>
      <c r="Y6" s="8">
        <f t="shared" si="0"/>
        <v>315</v>
      </c>
      <c r="Z6" s="8">
        <f t="shared" si="0"/>
        <v>330</v>
      </c>
      <c r="AA6" s="8">
        <f>Z6+15</f>
        <v>345</v>
      </c>
    </row>
    <row r="7" spans="1:27" x14ac:dyDescent="0.25">
      <c r="A7" s="78" t="s">
        <v>13</v>
      </c>
      <c r="B7" s="78"/>
      <c r="C7" s="78"/>
      <c r="D7" s="13">
        <v>98</v>
      </c>
      <c r="E7" s="13">
        <v>99.5</v>
      </c>
      <c r="F7" s="13">
        <v>101.5</v>
      </c>
      <c r="G7" s="13">
        <v>103</v>
      </c>
      <c r="H7" s="13">
        <v>104.5</v>
      </c>
      <c r="I7" s="13">
        <v>106</v>
      </c>
      <c r="J7" s="13">
        <v>105</v>
      </c>
      <c r="K7" s="13">
        <v>106</v>
      </c>
      <c r="L7" s="13">
        <v>103</v>
      </c>
      <c r="M7" s="13">
        <v>102</v>
      </c>
      <c r="N7" s="13">
        <v>100.5</v>
      </c>
      <c r="O7" s="13">
        <v>99.5</v>
      </c>
      <c r="P7" s="13">
        <v>98</v>
      </c>
      <c r="Q7" s="8">
        <f>$P$7</f>
        <v>98</v>
      </c>
      <c r="R7" s="8">
        <f t="shared" ref="R7:AA7" si="1">$P$7</f>
        <v>98</v>
      </c>
      <c r="S7" s="8">
        <f t="shared" si="1"/>
        <v>98</v>
      </c>
      <c r="T7" s="8">
        <f t="shared" si="1"/>
        <v>98</v>
      </c>
      <c r="U7" s="8">
        <f t="shared" si="1"/>
        <v>98</v>
      </c>
      <c r="V7" s="8">
        <f t="shared" si="1"/>
        <v>98</v>
      </c>
      <c r="W7" s="8">
        <f t="shared" si="1"/>
        <v>98</v>
      </c>
      <c r="X7" s="8">
        <f t="shared" si="1"/>
        <v>98</v>
      </c>
      <c r="Y7" s="8">
        <f t="shared" si="1"/>
        <v>98</v>
      </c>
      <c r="Z7" s="8">
        <f t="shared" si="1"/>
        <v>98</v>
      </c>
      <c r="AA7" s="8">
        <f t="shared" si="1"/>
        <v>98</v>
      </c>
    </row>
    <row r="8" spans="1:27" x14ac:dyDescent="0.25">
      <c r="A8" s="78" t="s">
        <v>6</v>
      </c>
      <c r="B8" s="78"/>
      <c r="C8" s="78"/>
      <c r="D8" s="14">
        <f>POWER(10,(D7-($M$2))/20)</f>
        <v>2.5118864315095806</v>
      </c>
      <c r="E8" s="14">
        <f t="shared" ref="E8:P8" si="2">POWER(10,(E7-($M$2))/20)</f>
        <v>2.98538261891796</v>
      </c>
      <c r="F8" s="14">
        <f t="shared" si="2"/>
        <v>3.7583740428844421</v>
      </c>
      <c r="G8" s="14">
        <f t="shared" si="2"/>
        <v>4.4668359215096318</v>
      </c>
      <c r="H8" s="14">
        <f t="shared" si="2"/>
        <v>5.3088444423098844</v>
      </c>
      <c r="I8" s="14">
        <f t="shared" si="2"/>
        <v>6.3095734448019343</v>
      </c>
      <c r="J8" s="14">
        <f t="shared" si="2"/>
        <v>5.6234132519034921</v>
      </c>
      <c r="K8" s="14">
        <f t="shared" si="2"/>
        <v>6.3095734448019343</v>
      </c>
      <c r="L8" s="14">
        <f t="shared" si="2"/>
        <v>4.4668359215096318</v>
      </c>
      <c r="M8" s="14">
        <f t="shared" si="2"/>
        <v>3.9810717055349727</v>
      </c>
      <c r="N8" s="14">
        <f t="shared" si="2"/>
        <v>3.349654391578277</v>
      </c>
      <c r="O8" s="14">
        <f t="shared" si="2"/>
        <v>2.98538261891796</v>
      </c>
      <c r="P8" s="14">
        <f t="shared" si="2"/>
        <v>2.5118864315095806</v>
      </c>
      <c r="Q8" s="9">
        <f>POWER(10,(Q7-($M$2))/20)</f>
        <v>2.5118864315095806</v>
      </c>
      <c r="R8" s="9">
        <f t="shared" ref="R8:AA8" si="3">POWER(10,(R7-($M$2))/20)</f>
        <v>2.5118864315095806</v>
      </c>
      <c r="S8" s="9">
        <f t="shared" si="3"/>
        <v>2.5118864315095806</v>
      </c>
      <c r="T8" s="9">
        <f t="shared" si="3"/>
        <v>2.5118864315095806</v>
      </c>
      <c r="U8" s="9">
        <f t="shared" si="3"/>
        <v>2.5118864315095806</v>
      </c>
      <c r="V8" s="9">
        <f t="shared" si="3"/>
        <v>2.5118864315095806</v>
      </c>
      <c r="W8" s="9">
        <f t="shared" si="3"/>
        <v>2.5118864315095806</v>
      </c>
      <c r="X8" s="9">
        <f t="shared" si="3"/>
        <v>2.5118864315095806</v>
      </c>
      <c r="Y8" s="9">
        <f t="shared" si="3"/>
        <v>2.5118864315095806</v>
      </c>
      <c r="Z8" s="9">
        <f t="shared" si="3"/>
        <v>2.5118864315095806</v>
      </c>
      <c r="AA8" s="9">
        <f t="shared" si="3"/>
        <v>2.5118864315095806</v>
      </c>
    </row>
    <row r="9" spans="1:27" hidden="1" x14ac:dyDescent="0.25">
      <c r="D9" s="1"/>
      <c r="E9" s="4">
        <f>COS(RADIANS(E6))*E8</f>
        <v>2.8836581729673534</v>
      </c>
      <c r="F9" s="4">
        <f>COS(RADIANS(F6))*F8</f>
        <v>3.2548473980619521</v>
      </c>
      <c r="G9" s="4">
        <f>COS(RADIANS(G6))*G8</f>
        <v>3.1585299705471219</v>
      </c>
      <c r="H9" s="4">
        <f>COS(RADIANS(H6))*H8</f>
        <v>2.6544222211549426</v>
      </c>
      <c r="I9" s="4">
        <f>COS(RADIANS(I6))*I8</f>
        <v>1.633037773987859</v>
      </c>
      <c r="J9" s="4"/>
      <c r="K9" s="4">
        <f>-COS(RADIANS(K6))*K8</f>
        <v>1.6330377739878597</v>
      </c>
      <c r="L9" s="4">
        <f>-COS(RADIANS(L6))*L8</f>
        <v>2.233417960754815</v>
      </c>
      <c r="M9" s="4">
        <f>-COS(RADIANS(M6))*M8</f>
        <v>2.8150427993736731</v>
      </c>
      <c r="N9" s="4">
        <f>-COS(RADIANS(N6))*N8</f>
        <v>2.9008857970048956</v>
      </c>
      <c r="O9" s="4">
        <f>-COS(RADIANS(O6))*O8</f>
        <v>2.8836581729673529</v>
      </c>
      <c r="P9" s="1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idden="1" x14ac:dyDescent="0.25">
      <c r="D10" s="4"/>
      <c r="E10" s="4"/>
      <c r="F10" s="4"/>
      <c r="G10" s="4"/>
      <c r="H10" s="4"/>
      <c r="I10" s="4">
        <f>SIN(RADIANS(I6))*I8</f>
        <v>6.0945799432018717</v>
      </c>
      <c r="J10" s="4">
        <f>SIN(RADIANS(J6))*J8</f>
        <v>5.6234132519034921</v>
      </c>
      <c r="K10" s="4">
        <f>SIN(RADIANS(K6))*K8</f>
        <v>6.0945799432018717</v>
      </c>
      <c r="L10" s="4"/>
      <c r="M10" s="4"/>
      <c r="N10" s="4"/>
      <c r="O10" s="4"/>
      <c r="P10" s="4"/>
    </row>
    <row r="11" spans="1:27" hidden="1" x14ac:dyDescent="0.25">
      <c r="C11" s="60" t="s">
        <v>3</v>
      </c>
      <c r="D11" s="4">
        <f>AVERAGE(E9:I9)</f>
        <v>2.7168991073438455</v>
      </c>
      <c r="E11" s="4">
        <f>D11</f>
        <v>2.7168991073438455</v>
      </c>
      <c r="F11" s="4">
        <f t="shared" ref="F11:I11" si="4">E11</f>
        <v>2.7168991073438455</v>
      </c>
      <c r="G11" s="4">
        <f t="shared" si="4"/>
        <v>2.7168991073438455</v>
      </c>
      <c r="H11" s="4">
        <f t="shared" si="4"/>
        <v>2.7168991073438455</v>
      </c>
      <c r="I11" s="4">
        <f t="shared" si="4"/>
        <v>2.7168991073438455</v>
      </c>
      <c r="J11" s="4"/>
      <c r="K11" s="4">
        <f t="shared" ref="K11:N11" si="5">L11</f>
        <v>2.4932085008177194</v>
      </c>
      <c r="L11" s="4">
        <f t="shared" si="5"/>
        <v>2.4932085008177194</v>
      </c>
      <c r="M11" s="4">
        <f t="shared" si="5"/>
        <v>2.4932085008177194</v>
      </c>
      <c r="N11" s="4">
        <f t="shared" si="5"/>
        <v>2.4932085008177194</v>
      </c>
      <c r="O11" s="4">
        <f>P11</f>
        <v>2.4932085008177194</v>
      </c>
      <c r="P11" s="4">
        <f>AVERAGE(K9:O9)</f>
        <v>2.4932085008177194</v>
      </c>
    </row>
    <row r="12" spans="1:27" hidden="1" x14ac:dyDescent="0.25">
      <c r="C12" s="60" t="s">
        <v>4</v>
      </c>
      <c r="D12" s="4"/>
      <c r="E12" s="4"/>
      <c r="F12" s="4"/>
      <c r="G12" s="4"/>
      <c r="H12" s="4">
        <f>I12</f>
        <v>5.9375243794357457</v>
      </c>
      <c r="I12" s="4">
        <f>AVERAGE(I10:K10)</f>
        <v>5.9375243794357457</v>
      </c>
      <c r="J12" s="4">
        <f>I12</f>
        <v>5.9375243794357457</v>
      </c>
      <c r="K12" s="4">
        <f>J12</f>
        <v>5.9375243794357457</v>
      </c>
      <c r="L12" s="4">
        <f>K12</f>
        <v>5.9375243794357457</v>
      </c>
      <c r="M12" s="4"/>
      <c r="N12" s="4"/>
      <c r="O12" s="4"/>
      <c r="P12" s="4"/>
    </row>
    <row r="13" spans="1:27" x14ac:dyDescent="0.25">
      <c r="D13" s="7">
        <f t="shared" ref="D13:I13" si="6">D11/COS(RADIANS(D6))</f>
        <v>2.7168991073438455</v>
      </c>
      <c r="E13" s="7">
        <f t="shared" si="6"/>
        <v>2.8127409304105004</v>
      </c>
      <c r="F13" s="7">
        <f t="shared" si="6"/>
        <v>3.1372048619720463</v>
      </c>
      <c r="G13" s="7">
        <f t="shared" si="6"/>
        <v>3.8422755652050213</v>
      </c>
      <c r="H13" s="7">
        <f t="shared" si="6"/>
        <v>5.4337982146876902</v>
      </c>
      <c r="I13" s="7">
        <f t="shared" si="6"/>
        <v>10.497292060820545</v>
      </c>
      <c r="J13" s="7"/>
      <c r="K13" s="7">
        <f>-K11/COS(RADIANS(K6))</f>
        <v>9.6330179250531351</v>
      </c>
      <c r="L13" s="7">
        <f>-L11/COS(RADIANS(L6))</f>
        <v>4.9864170016354405</v>
      </c>
      <c r="M13" s="7">
        <f t="shared" ref="M13:P13" si="7">-M11/COS(RADIANS(M6))</f>
        <v>3.5259292756803111</v>
      </c>
      <c r="N13" s="7">
        <f t="shared" si="7"/>
        <v>2.8789091981859469</v>
      </c>
      <c r="O13" s="7">
        <f t="shared" si="7"/>
        <v>2.5811593736925182</v>
      </c>
      <c r="P13" s="7">
        <f t="shared" si="7"/>
        <v>2.4932085008177194</v>
      </c>
    </row>
    <row r="14" spans="1:27" x14ac:dyDescent="0.25">
      <c r="D14" s="7"/>
      <c r="E14" s="7"/>
      <c r="F14" s="7"/>
      <c r="G14" s="7"/>
      <c r="H14" s="7">
        <f>H12/SIN(RADIANS(H6))</f>
        <v>6.856062597574387</v>
      </c>
      <c r="I14" s="7">
        <f>I12/SIN(RADIANS(I6))</f>
        <v>6.1469775606339869</v>
      </c>
      <c r="J14" s="7">
        <f>J12/SIN(RADIANS(J6))</f>
        <v>5.9375243794357457</v>
      </c>
      <c r="K14" s="7">
        <f>K12/SIN(RADIANS(K6))</f>
        <v>6.1469775606339869</v>
      </c>
      <c r="L14" s="7">
        <f>L12/SIN(RADIANS(L6))</f>
        <v>6.8560625975743861</v>
      </c>
      <c r="M14" s="7"/>
      <c r="N14" s="7"/>
      <c r="O14" s="7"/>
      <c r="P14" s="7"/>
    </row>
    <row r="15" spans="1:27" x14ac:dyDescent="0.25">
      <c r="A15" s="87" t="str">
        <f>CONCATENATE(E3," @",M2,"dB(A), ",E4,"-tone")</f>
        <v>A 100 (E2S) @90dB(A), DIN-tone</v>
      </c>
      <c r="B15" s="88"/>
      <c r="C15" s="89"/>
      <c r="D15" s="5" t="s">
        <v>8</v>
      </c>
      <c r="E15" s="5" t="s">
        <v>9</v>
      </c>
      <c r="F15" s="5" t="s">
        <v>18</v>
      </c>
      <c r="G15" s="4"/>
      <c r="H15" s="4"/>
      <c r="L15" s="4"/>
      <c r="M15" s="4"/>
      <c r="N15" s="4"/>
      <c r="O15" s="4"/>
      <c r="P15" s="4"/>
    </row>
    <row r="16" spans="1:27" ht="30.75" customHeight="1" x14ac:dyDescent="0.25">
      <c r="A16" s="74" t="s">
        <v>17</v>
      </c>
      <c r="B16" s="74"/>
      <c r="C16" s="74"/>
      <c r="D16" s="10">
        <f>D11+P11</f>
        <v>5.2101076081615645</v>
      </c>
      <c r="E16" s="11">
        <f>I12</f>
        <v>5.9375243794357457</v>
      </c>
      <c r="F16" s="11">
        <f>D16*E16</f>
        <v>30.935140942942951</v>
      </c>
      <c r="G16" s="6" t="s">
        <v>5</v>
      </c>
      <c r="H16" s="29" t="s">
        <v>29</v>
      </c>
    </row>
    <row r="17" spans="1:16" ht="30" customHeight="1" x14ac:dyDescent="0.25">
      <c r="A17" s="70" t="s">
        <v>24</v>
      </c>
      <c r="B17" s="71"/>
      <c r="C17" s="72"/>
      <c r="D17" s="23">
        <f>(POWER(10,(3)/20)-1)*D16/2</f>
        <v>1.0746824999456517</v>
      </c>
      <c r="E17" s="23">
        <f>(POWER(10,(3)/20)-1)*E16/2</f>
        <v>1.2247258643150829</v>
      </c>
      <c r="G17" s="73" t="s">
        <v>23</v>
      </c>
      <c r="H17" s="73"/>
      <c r="I17" s="73"/>
      <c r="J17" s="73"/>
      <c r="K17" s="73"/>
      <c r="L17" s="73"/>
      <c r="M17" s="73"/>
      <c r="N17" s="73"/>
      <c r="O17" s="73"/>
      <c r="P17" s="73"/>
    </row>
    <row r="18" spans="1:16" x14ac:dyDescent="0.25">
      <c r="A18" s="64" t="s">
        <v>39</v>
      </c>
      <c r="B18" s="65"/>
      <c r="C18" s="66"/>
      <c r="D18" s="11">
        <f>D16/2</f>
        <v>2.6050538040807822</v>
      </c>
      <c r="E18" s="6" t="s">
        <v>22</v>
      </c>
      <c r="G18" s="73" t="s">
        <v>25</v>
      </c>
      <c r="H18" s="73"/>
      <c r="I18" s="73"/>
      <c r="J18" s="73"/>
      <c r="K18" s="73"/>
      <c r="L18" s="73"/>
      <c r="M18" s="73"/>
      <c r="N18" s="73"/>
      <c r="O18" s="73"/>
      <c r="P18" s="73"/>
    </row>
    <row r="19" spans="1:16" x14ac:dyDescent="0.25">
      <c r="A19" s="67"/>
      <c r="B19" s="68"/>
      <c r="C19" s="69"/>
      <c r="D19" s="11">
        <f>E16</f>
        <v>5.9375243794357457</v>
      </c>
      <c r="E19" s="6" t="s">
        <v>38</v>
      </c>
    </row>
    <row r="25" spans="1:16" ht="18.75" x14ac:dyDescent="0.25">
      <c r="B25" s="26"/>
      <c r="C25" s="27"/>
      <c r="D25" s="75"/>
      <c r="E25" s="75"/>
      <c r="F25" s="28"/>
    </row>
  </sheetData>
  <sheetProtection selectLockedCells="1"/>
  <mergeCells count="14">
    <mergeCell ref="G17:P17"/>
    <mergeCell ref="A18:C19"/>
    <mergeCell ref="G18:P18"/>
    <mergeCell ref="A2:B2"/>
    <mergeCell ref="F2:G2"/>
    <mergeCell ref="K2:L2"/>
    <mergeCell ref="D5:K5"/>
    <mergeCell ref="A6:C6"/>
    <mergeCell ref="A7:C7"/>
    <mergeCell ref="D25:E25"/>
    <mergeCell ref="A8:C8"/>
    <mergeCell ref="A15:C15"/>
    <mergeCell ref="A16:C16"/>
    <mergeCell ref="A17:C17"/>
  </mergeCells>
  <pageMargins left="0.59055118110236227" right="0.51181102362204722" top="0.74803149606299213" bottom="0.74803149606299213" header="0.31496062992125984" footer="0.31496062992125984"/>
  <pageSetup paperSize="9" scale="73" fitToWidth="0" orientation="landscape" r:id="rId1"/>
  <headerFooter>
    <oddHeader>&amp;L&amp;G&amp;C&amp;"-,Fett"&amp;14Abstrahlcharakteristik / dispersion characteristic
Schallgeber / Sounder
&amp;R&amp;G</oddHeader>
    <oddFooter>&amp;LPfannenberg GmbH</oddFooter>
  </headerFooter>
  <rowBreaks count="1" manualBreakCount="1">
    <brk id="25" max="16383" man="1"/>
  </rowBreaks>
  <colBreaks count="1" manualBreakCount="1">
    <brk id="16" max="1048575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0.39997558519241921"/>
    <pageSetUpPr fitToPage="1"/>
  </sheetPr>
  <dimension ref="A2:AA25"/>
  <sheetViews>
    <sheetView topLeftCell="A2" zoomScaleNormal="100" workbookViewId="0">
      <selection activeCell="C3" sqref="C3"/>
    </sheetView>
  </sheetViews>
  <sheetFormatPr baseColWidth="10" defaultRowHeight="15" x14ac:dyDescent="0.25"/>
  <cols>
    <col min="1" max="1" width="12.5703125" style="60" customWidth="1"/>
    <col min="2" max="2" width="6.85546875" style="60" customWidth="1"/>
    <col min="3" max="3" width="7.140625" style="60" customWidth="1"/>
    <col min="4" max="9" width="11.42578125" style="60"/>
    <col min="10" max="10" width="11.42578125" style="60" customWidth="1"/>
    <col min="11" max="14" width="11.42578125" style="60"/>
    <col min="15" max="16" width="11.42578125" style="60" customWidth="1"/>
    <col min="17" max="27" width="11.42578125" style="8"/>
    <col min="28" max="16384" width="11.42578125" style="60"/>
  </cols>
  <sheetData>
    <row r="2" spans="1:27" ht="35.25" customHeight="1" x14ac:dyDescent="0.25">
      <c r="A2" s="77" t="s">
        <v>1</v>
      </c>
      <c r="B2" s="77"/>
      <c r="C2" s="25">
        <v>80</v>
      </c>
      <c r="D2" s="26" t="s">
        <v>12</v>
      </c>
      <c r="E2" s="27" t="str">
        <f>CONCATENATE(M2," dB Schalldruck/
sound presure")</f>
        <v>90 dB Schalldruck/
sound presure</v>
      </c>
      <c r="F2" s="75" t="s">
        <v>11</v>
      </c>
      <c r="G2" s="75"/>
      <c r="H2" s="28">
        <v>10</v>
      </c>
      <c r="I2" s="2" t="s">
        <v>0</v>
      </c>
      <c r="K2" s="76" t="s">
        <v>10</v>
      </c>
      <c r="L2" s="77"/>
      <c r="M2" s="15">
        <f>C2+H2</f>
        <v>90</v>
      </c>
      <c r="N2" s="2" t="s">
        <v>12</v>
      </c>
    </row>
    <row r="3" spans="1:27" ht="18.75" x14ac:dyDescent="0.3">
      <c r="D3" s="16" t="s">
        <v>14</v>
      </c>
      <c r="E3" s="17" t="s">
        <v>62</v>
      </c>
      <c r="F3" s="17"/>
      <c r="G3" s="17"/>
      <c r="H3" s="17"/>
      <c r="I3" s="17"/>
      <c r="J3" s="17"/>
      <c r="K3" s="18"/>
    </row>
    <row r="4" spans="1:27" ht="18.75" x14ac:dyDescent="0.3">
      <c r="D4" s="19" t="s">
        <v>15</v>
      </c>
      <c r="E4" s="20" t="s">
        <v>16</v>
      </c>
      <c r="F4" s="20" t="s">
        <v>61</v>
      </c>
      <c r="G4" s="20"/>
      <c r="H4" s="20"/>
      <c r="I4" s="20"/>
      <c r="J4" s="20"/>
      <c r="K4" s="21"/>
    </row>
    <row r="5" spans="1:27" ht="18.75" x14ac:dyDescent="0.3">
      <c r="D5" s="90" t="s">
        <v>2</v>
      </c>
      <c r="E5" s="91"/>
      <c r="F5" s="91"/>
      <c r="G5" s="91"/>
      <c r="H5" s="91"/>
      <c r="I5" s="91"/>
      <c r="J5" s="91"/>
      <c r="K5" s="92"/>
    </row>
    <row r="6" spans="1:27" x14ac:dyDescent="0.25">
      <c r="A6" s="78" t="s">
        <v>7</v>
      </c>
      <c r="B6" s="78"/>
      <c r="C6" s="78"/>
      <c r="D6" s="12">
        <v>0</v>
      </c>
      <c r="E6" s="12">
        <v>15</v>
      </c>
      <c r="F6" s="12">
        <v>30</v>
      </c>
      <c r="G6" s="12">
        <v>45</v>
      </c>
      <c r="H6" s="12">
        <v>60</v>
      </c>
      <c r="I6" s="12">
        <v>75</v>
      </c>
      <c r="J6" s="12">
        <v>90</v>
      </c>
      <c r="K6" s="12">
        <v>105</v>
      </c>
      <c r="L6" s="12">
        <v>120</v>
      </c>
      <c r="M6" s="12">
        <v>135</v>
      </c>
      <c r="N6" s="12">
        <v>150</v>
      </c>
      <c r="O6" s="12">
        <v>165</v>
      </c>
      <c r="P6" s="12">
        <v>180</v>
      </c>
      <c r="Q6" s="8">
        <f>P6+15</f>
        <v>195</v>
      </c>
      <c r="R6" s="8">
        <f>Q6+15</f>
        <v>210</v>
      </c>
      <c r="S6" s="8">
        <f t="shared" ref="S6:Z6" si="0">R6+15</f>
        <v>225</v>
      </c>
      <c r="T6" s="8">
        <f t="shared" si="0"/>
        <v>240</v>
      </c>
      <c r="U6" s="8">
        <f t="shared" si="0"/>
        <v>255</v>
      </c>
      <c r="V6" s="8">
        <f t="shared" si="0"/>
        <v>270</v>
      </c>
      <c r="W6" s="8">
        <f t="shared" si="0"/>
        <v>285</v>
      </c>
      <c r="X6" s="8">
        <f t="shared" si="0"/>
        <v>300</v>
      </c>
      <c r="Y6" s="8">
        <f t="shared" si="0"/>
        <v>315</v>
      </c>
      <c r="Z6" s="8">
        <f t="shared" si="0"/>
        <v>330</v>
      </c>
      <c r="AA6" s="8">
        <f>Z6+15</f>
        <v>345</v>
      </c>
    </row>
    <row r="7" spans="1:27" x14ac:dyDescent="0.25">
      <c r="A7" s="78" t="s">
        <v>13</v>
      </c>
      <c r="B7" s="78"/>
      <c r="C7" s="78"/>
      <c r="D7" s="13">
        <v>98</v>
      </c>
      <c r="E7" s="13">
        <v>99.5</v>
      </c>
      <c r="F7" s="13">
        <v>101.5</v>
      </c>
      <c r="G7" s="13">
        <v>103</v>
      </c>
      <c r="H7" s="13">
        <v>104.5</v>
      </c>
      <c r="I7" s="13">
        <v>106</v>
      </c>
      <c r="J7" s="13">
        <v>105</v>
      </c>
      <c r="K7" s="13">
        <v>106</v>
      </c>
      <c r="L7" s="13">
        <v>103</v>
      </c>
      <c r="M7" s="13">
        <v>102</v>
      </c>
      <c r="N7" s="13">
        <v>100.5</v>
      </c>
      <c r="O7" s="13">
        <v>99.5</v>
      </c>
      <c r="P7" s="13">
        <v>98</v>
      </c>
      <c r="Q7" s="8">
        <f>$P$7</f>
        <v>98</v>
      </c>
      <c r="R7" s="8">
        <f t="shared" ref="R7:AA7" si="1">$P$7</f>
        <v>98</v>
      </c>
      <c r="S7" s="8">
        <f t="shared" si="1"/>
        <v>98</v>
      </c>
      <c r="T7" s="8">
        <f t="shared" si="1"/>
        <v>98</v>
      </c>
      <c r="U7" s="8">
        <f t="shared" si="1"/>
        <v>98</v>
      </c>
      <c r="V7" s="8">
        <f t="shared" si="1"/>
        <v>98</v>
      </c>
      <c r="W7" s="8">
        <f t="shared" si="1"/>
        <v>98</v>
      </c>
      <c r="X7" s="8">
        <f t="shared" si="1"/>
        <v>98</v>
      </c>
      <c r="Y7" s="8">
        <f t="shared" si="1"/>
        <v>98</v>
      </c>
      <c r="Z7" s="8">
        <f t="shared" si="1"/>
        <v>98</v>
      </c>
      <c r="AA7" s="8">
        <f t="shared" si="1"/>
        <v>98</v>
      </c>
    </row>
    <row r="8" spans="1:27" x14ac:dyDescent="0.25">
      <c r="A8" s="78" t="s">
        <v>6</v>
      </c>
      <c r="B8" s="78"/>
      <c r="C8" s="78"/>
      <c r="D8" s="14">
        <f>POWER(10,(D7-($M$2))/20)</f>
        <v>2.5118864315095806</v>
      </c>
      <c r="E8" s="14">
        <f t="shared" ref="E8:P8" si="2">POWER(10,(E7-($M$2))/20)</f>
        <v>2.98538261891796</v>
      </c>
      <c r="F8" s="14">
        <f t="shared" si="2"/>
        <v>3.7583740428844421</v>
      </c>
      <c r="G8" s="14">
        <f t="shared" si="2"/>
        <v>4.4668359215096318</v>
      </c>
      <c r="H8" s="14">
        <f t="shared" si="2"/>
        <v>5.3088444423098844</v>
      </c>
      <c r="I8" s="14">
        <f t="shared" si="2"/>
        <v>6.3095734448019343</v>
      </c>
      <c r="J8" s="14">
        <f t="shared" si="2"/>
        <v>5.6234132519034921</v>
      </c>
      <c r="K8" s="14">
        <f t="shared" si="2"/>
        <v>6.3095734448019343</v>
      </c>
      <c r="L8" s="14">
        <f t="shared" si="2"/>
        <v>4.4668359215096318</v>
      </c>
      <c r="M8" s="14">
        <f t="shared" si="2"/>
        <v>3.9810717055349727</v>
      </c>
      <c r="N8" s="14">
        <f t="shared" si="2"/>
        <v>3.349654391578277</v>
      </c>
      <c r="O8" s="14">
        <f t="shared" si="2"/>
        <v>2.98538261891796</v>
      </c>
      <c r="P8" s="14">
        <f t="shared" si="2"/>
        <v>2.5118864315095806</v>
      </c>
      <c r="Q8" s="9">
        <f>POWER(10,(Q7-($M$2))/20)</f>
        <v>2.5118864315095806</v>
      </c>
      <c r="R8" s="9">
        <f t="shared" ref="R8:AA8" si="3">POWER(10,(R7-($M$2))/20)</f>
        <v>2.5118864315095806</v>
      </c>
      <c r="S8" s="9">
        <f t="shared" si="3"/>
        <v>2.5118864315095806</v>
      </c>
      <c r="T8" s="9">
        <f t="shared" si="3"/>
        <v>2.5118864315095806</v>
      </c>
      <c r="U8" s="9">
        <f t="shared" si="3"/>
        <v>2.5118864315095806</v>
      </c>
      <c r="V8" s="9">
        <f t="shared" si="3"/>
        <v>2.5118864315095806</v>
      </c>
      <c r="W8" s="9">
        <f t="shared" si="3"/>
        <v>2.5118864315095806</v>
      </c>
      <c r="X8" s="9">
        <f t="shared" si="3"/>
        <v>2.5118864315095806</v>
      </c>
      <c r="Y8" s="9">
        <f t="shared" si="3"/>
        <v>2.5118864315095806</v>
      </c>
      <c r="Z8" s="9">
        <f t="shared" si="3"/>
        <v>2.5118864315095806</v>
      </c>
      <c r="AA8" s="9">
        <f t="shared" si="3"/>
        <v>2.5118864315095806</v>
      </c>
    </row>
    <row r="9" spans="1:27" hidden="1" x14ac:dyDescent="0.25">
      <c r="D9" s="1"/>
      <c r="E9" s="4">
        <f>COS(RADIANS(E6))*E8</f>
        <v>2.8836581729673534</v>
      </c>
      <c r="F9" s="4">
        <f>COS(RADIANS(F6))*F8</f>
        <v>3.2548473980619521</v>
      </c>
      <c r="G9" s="4">
        <f>COS(RADIANS(G6))*G8</f>
        <v>3.1585299705471219</v>
      </c>
      <c r="H9" s="4">
        <f>COS(RADIANS(H6))*H8</f>
        <v>2.6544222211549426</v>
      </c>
      <c r="I9" s="4">
        <f>COS(RADIANS(I6))*I8</f>
        <v>1.633037773987859</v>
      </c>
      <c r="J9" s="4"/>
      <c r="K9" s="4">
        <f>-COS(RADIANS(K6))*K8</f>
        <v>1.6330377739878597</v>
      </c>
      <c r="L9" s="4">
        <f>-COS(RADIANS(L6))*L8</f>
        <v>2.233417960754815</v>
      </c>
      <c r="M9" s="4">
        <f>-COS(RADIANS(M6))*M8</f>
        <v>2.8150427993736731</v>
      </c>
      <c r="N9" s="4">
        <f>-COS(RADIANS(N6))*N8</f>
        <v>2.9008857970048956</v>
      </c>
      <c r="O9" s="4">
        <f>-COS(RADIANS(O6))*O8</f>
        <v>2.8836581729673529</v>
      </c>
      <c r="P9" s="1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idden="1" x14ac:dyDescent="0.25">
      <c r="D10" s="4"/>
      <c r="E10" s="4"/>
      <c r="F10" s="4"/>
      <c r="G10" s="4"/>
      <c r="H10" s="4"/>
      <c r="I10" s="4">
        <f>SIN(RADIANS(I6))*I8</f>
        <v>6.0945799432018717</v>
      </c>
      <c r="J10" s="4">
        <f>SIN(RADIANS(J6))*J8</f>
        <v>5.6234132519034921</v>
      </c>
      <c r="K10" s="4">
        <f>SIN(RADIANS(K6))*K8</f>
        <v>6.0945799432018717</v>
      </c>
      <c r="L10" s="4"/>
      <c r="M10" s="4"/>
      <c r="N10" s="4"/>
      <c r="O10" s="4"/>
      <c r="P10" s="4"/>
    </row>
    <row r="11" spans="1:27" hidden="1" x14ac:dyDescent="0.25">
      <c r="C11" s="60" t="s">
        <v>3</v>
      </c>
      <c r="D11" s="4">
        <f>AVERAGE(E9:I9)</f>
        <v>2.7168991073438455</v>
      </c>
      <c r="E11" s="4">
        <f>D11</f>
        <v>2.7168991073438455</v>
      </c>
      <c r="F11" s="4">
        <f t="shared" ref="F11:I11" si="4">E11</f>
        <v>2.7168991073438455</v>
      </c>
      <c r="G11" s="4">
        <f t="shared" si="4"/>
        <v>2.7168991073438455</v>
      </c>
      <c r="H11" s="4">
        <f t="shared" si="4"/>
        <v>2.7168991073438455</v>
      </c>
      <c r="I11" s="4">
        <f t="shared" si="4"/>
        <v>2.7168991073438455</v>
      </c>
      <c r="J11" s="4"/>
      <c r="K11" s="4">
        <f t="shared" ref="K11:N11" si="5">L11</f>
        <v>2.4932085008177194</v>
      </c>
      <c r="L11" s="4">
        <f t="shared" si="5"/>
        <v>2.4932085008177194</v>
      </c>
      <c r="M11" s="4">
        <f t="shared" si="5"/>
        <v>2.4932085008177194</v>
      </c>
      <c r="N11" s="4">
        <f t="shared" si="5"/>
        <v>2.4932085008177194</v>
      </c>
      <c r="O11" s="4">
        <f>P11</f>
        <v>2.4932085008177194</v>
      </c>
      <c r="P11" s="4">
        <f>AVERAGE(K9:O9)</f>
        <v>2.4932085008177194</v>
      </c>
    </row>
    <row r="12" spans="1:27" hidden="1" x14ac:dyDescent="0.25">
      <c r="C12" s="60" t="s">
        <v>4</v>
      </c>
      <c r="D12" s="4"/>
      <c r="E12" s="4"/>
      <c r="F12" s="4"/>
      <c r="G12" s="4"/>
      <c r="H12" s="4">
        <f>I12</f>
        <v>5.9375243794357457</v>
      </c>
      <c r="I12" s="4">
        <f>AVERAGE(I10:K10)</f>
        <v>5.9375243794357457</v>
      </c>
      <c r="J12" s="4">
        <f>I12</f>
        <v>5.9375243794357457</v>
      </c>
      <c r="K12" s="4">
        <f>J12</f>
        <v>5.9375243794357457</v>
      </c>
      <c r="L12" s="4">
        <f>K12</f>
        <v>5.9375243794357457</v>
      </c>
      <c r="M12" s="4"/>
      <c r="N12" s="4"/>
      <c r="O12" s="4"/>
      <c r="P12" s="4"/>
    </row>
    <row r="13" spans="1:27" x14ac:dyDescent="0.25">
      <c r="D13" s="7">
        <f t="shared" ref="D13:I13" si="6">D11/COS(RADIANS(D6))</f>
        <v>2.7168991073438455</v>
      </c>
      <c r="E13" s="7">
        <f t="shared" si="6"/>
        <v>2.8127409304105004</v>
      </c>
      <c r="F13" s="7">
        <f t="shared" si="6"/>
        <v>3.1372048619720463</v>
      </c>
      <c r="G13" s="7">
        <f t="shared" si="6"/>
        <v>3.8422755652050213</v>
      </c>
      <c r="H13" s="7">
        <f t="shared" si="6"/>
        <v>5.4337982146876902</v>
      </c>
      <c r="I13" s="7">
        <f t="shared" si="6"/>
        <v>10.497292060820545</v>
      </c>
      <c r="J13" s="7"/>
      <c r="K13" s="7">
        <f>-K11/COS(RADIANS(K6))</f>
        <v>9.6330179250531351</v>
      </c>
      <c r="L13" s="7">
        <f>-L11/COS(RADIANS(L6))</f>
        <v>4.9864170016354405</v>
      </c>
      <c r="M13" s="7">
        <f t="shared" ref="M13:P13" si="7">-M11/COS(RADIANS(M6))</f>
        <v>3.5259292756803111</v>
      </c>
      <c r="N13" s="7">
        <f t="shared" si="7"/>
        <v>2.8789091981859469</v>
      </c>
      <c r="O13" s="7">
        <f t="shared" si="7"/>
        <v>2.5811593736925182</v>
      </c>
      <c r="P13" s="7">
        <f t="shared" si="7"/>
        <v>2.4932085008177194</v>
      </c>
    </row>
    <row r="14" spans="1:27" x14ac:dyDescent="0.25">
      <c r="D14" s="7"/>
      <c r="E14" s="7"/>
      <c r="F14" s="7"/>
      <c r="G14" s="7"/>
      <c r="H14" s="7">
        <f>H12/SIN(RADIANS(H6))</f>
        <v>6.856062597574387</v>
      </c>
      <c r="I14" s="7">
        <f>I12/SIN(RADIANS(I6))</f>
        <v>6.1469775606339869</v>
      </c>
      <c r="J14" s="7">
        <f>J12/SIN(RADIANS(J6))</f>
        <v>5.9375243794357457</v>
      </c>
      <c r="K14" s="7">
        <f>K12/SIN(RADIANS(K6))</f>
        <v>6.1469775606339869</v>
      </c>
      <c r="L14" s="7">
        <f>L12/SIN(RADIANS(L6))</f>
        <v>6.8560625975743861</v>
      </c>
      <c r="M14" s="7"/>
      <c r="N14" s="7"/>
      <c r="O14" s="7"/>
      <c r="P14" s="7"/>
    </row>
    <row r="15" spans="1:27" x14ac:dyDescent="0.25">
      <c r="A15" s="87" t="str">
        <f>CONCATENATE(E3," @",M2,"dB(A), ",E4,"-tone")</f>
        <v>A 105N (E2S) @90dB(A), DIN-tone</v>
      </c>
      <c r="B15" s="88"/>
      <c r="C15" s="89"/>
      <c r="D15" s="5" t="s">
        <v>8</v>
      </c>
      <c r="E15" s="5" t="s">
        <v>9</v>
      </c>
      <c r="F15" s="5" t="s">
        <v>18</v>
      </c>
      <c r="G15" s="4"/>
      <c r="H15" s="4"/>
      <c r="L15" s="4"/>
      <c r="M15" s="4"/>
      <c r="N15" s="4"/>
      <c r="O15" s="4"/>
      <c r="P15" s="4"/>
    </row>
    <row r="16" spans="1:27" ht="30.75" customHeight="1" x14ac:dyDescent="0.25">
      <c r="A16" s="74" t="s">
        <v>17</v>
      </c>
      <c r="B16" s="74"/>
      <c r="C16" s="74"/>
      <c r="D16" s="10">
        <f>D11+P11</f>
        <v>5.2101076081615645</v>
      </c>
      <c r="E16" s="11">
        <f>I12</f>
        <v>5.9375243794357457</v>
      </c>
      <c r="F16" s="11">
        <f>D16*E16</f>
        <v>30.935140942942951</v>
      </c>
      <c r="G16" s="6" t="s">
        <v>5</v>
      </c>
      <c r="H16" s="29" t="s">
        <v>29</v>
      </c>
    </row>
    <row r="17" spans="1:16" ht="30" customHeight="1" x14ac:dyDescent="0.25">
      <c r="A17" s="70" t="s">
        <v>24</v>
      </c>
      <c r="B17" s="71"/>
      <c r="C17" s="72"/>
      <c r="D17" s="23">
        <f>(POWER(10,(3)/20)-1)*D16/2</f>
        <v>1.0746824999456517</v>
      </c>
      <c r="E17" s="23">
        <f>(POWER(10,(3)/20)-1)*E16/2</f>
        <v>1.2247258643150829</v>
      </c>
      <c r="G17" s="73" t="s">
        <v>23</v>
      </c>
      <c r="H17" s="73"/>
      <c r="I17" s="73"/>
      <c r="J17" s="73"/>
      <c r="K17" s="73"/>
      <c r="L17" s="73"/>
      <c r="M17" s="73"/>
      <c r="N17" s="73"/>
      <c r="O17" s="73"/>
      <c r="P17" s="73"/>
    </row>
    <row r="18" spans="1:16" x14ac:dyDescent="0.25">
      <c r="A18" s="64" t="s">
        <v>39</v>
      </c>
      <c r="B18" s="65"/>
      <c r="C18" s="66"/>
      <c r="D18" s="11">
        <f>D16/2</f>
        <v>2.6050538040807822</v>
      </c>
      <c r="E18" s="6" t="s">
        <v>22</v>
      </c>
      <c r="G18" s="73" t="s">
        <v>25</v>
      </c>
      <c r="H18" s="73"/>
      <c r="I18" s="73"/>
      <c r="J18" s="73"/>
      <c r="K18" s="73"/>
      <c r="L18" s="73"/>
      <c r="M18" s="73"/>
      <c r="N18" s="73"/>
      <c r="O18" s="73"/>
      <c r="P18" s="73"/>
    </row>
    <row r="19" spans="1:16" x14ac:dyDescent="0.25">
      <c r="A19" s="67"/>
      <c r="B19" s="68"/>
      <c r="C19" s="69"/>
      <c r="D19" s="11">
        <f>E16</f>
        <v>5.9375243794357457</v>
      </c>
      <c r="E19" s="6" t="s">
        <v>38</v>
      </c>
    </row>
    <row r="25" spans="1:16" ht="18.75" x14ac:dyDescent="0.25">
      <c r="B25" s="26"/>
      <c r="C25" s="27"/>
      <c r="D25" s="75"/>
      <c r="E25" s="75"/>
      <c r="F25" s="28"/>
    </row>
  </sheetData>
  <sheetProtection selectLockedCells="1"/>
  <mergeCells count="14">
    <mergeCell ref="G17:P17"/>
    <mergeCell ref="A18:C19"/>
    <mergeCell ref="G18:P18"/>
    <mergeCell ref="A2:B2"/>
    <mergeCell ref="F2:G2"/>
    <mergeCell ref="K2:L2"/>
    <mergeCell ref="D5:K5"/>
    <mergeCell ref="A6:C6"/>
    <mergeCell ref="A7:C7"/>
    <mergeCell ref="D25:E25"/>
    <mergeCell ref="A8:C8"/>
    <mergeCell ref="A15:C15"/>
    <mergeCell ref="A16:C16"/>
    <mergeCell ref="A17:C17"/>
  </mergeCells>
  <pageMargins left="0.59055118110236227" right="0.51181102362204722" top="0.74803149606299213" bottom="0.74803149606299213" header="0.31496062992125984" footer="0.31496062992125984"/>
  <pageSetup paperSize="9" scale="73" fitToWidth="0" orientation="landscape" r:id="rId1"/>
  <headerFooter>
    <oddHeader>&amp;L&amp;G&amp;C&amp;"-,Fett"&amp;14Abstrahlcharakteristik / dispersion characteristic
Schallgeber / Sounder
&amp;R&amp;G</oddHeader>
    <oddFooter>&amp;LPfannenberg GmbH</oddFooter>
  </headerFooter>
  <rowBreaks count="1" manualBreakCount="1">
    <brk id="25" max="16383" man="1"/>
  </rowBreaks>
  <colBreaks count="1" manualBreakCount="1">
    <brk id="16" max="1048575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34B2217D448146BE4AFF3611D218EF" ma:contentTypeVersion="1" ma:contentTypeDescription="Create a new document." ma:contentTypeScope="" ma:versionID="a1f948c3867480bf24db22d10c0f6ac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0421ac104f9c60eacca6eb81346dda3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2687E57-8F03-4005-B8E4-533F61B2F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D8305EE-816B-435E-A757-9FD8AD5305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D70EC44-82BE-4E5C-8837-3EB61D4EA8E5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6</vt:i4>
      </vt:variant>
    </vt:vector>
  </HeadingPairs>
  <TitlesOfParts>
    <vt:vector size="13" baseType="lpstr">
      <vt:lpstr>read me</vt:lpstr>
      <vt:lpstr>PA 5</vt:lpstr>
      <vt:lpstr>PA 10</vt:lpstr>
      <vt:lpstr>DS 10</vt:lpstr>
      <vt:lpstr>E2S A100</vt:lpstr>
      <vt:lpstr>A 100</vt:lpstr>
      <vt:lpstr>A 105N</vt:lpstr>
      <vt:lpstr>'A 100'!Druckbereich</vt:lpstr>
      <vt:lpstr>'A 105N'!Druckbereich</vt:lpstr>
      <vt:lpstr>'DS 10'!Druckbereich</vt:lpstr>
      <vt:lpstr>'E2S A100'!Druckbereich</vt:lpstr>
      <vt:lpstr>'PA 10'!Druckbereich</vt:lpstr>
      <vt:lpstr>'PA 5'!Druckbereich</vt:lpstr>
    </vt:vector>
  </TitlesOfParts>
  <Company>Pfannenberg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Coverages of Sounders</dc:title>
  <dc:creator>Matthies, Volker</dc:creator>
  <cp:lastModifiedBy>Egbers, Mark</cp:lastModifiedBy>
  <cp:lastPrinted>2017-06-01T12:47:31Z</cp:lastPrinted>
  <dcterms:created xsi:type="dcterms:W3CDTF">2014-11-06T17:16:16Z</dcterms:created>
  <dcterms:modified xsi:type="dcterms:W3CDTF">2022-04-21T11:29:17Z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0x0101001A34B2217D448146BE4AFF3611D218EF</vt:lpwstr>
  </property>
</Properties>
</file>